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8234303444/WOPIServiceId_TP_BOX_2/WOPIUserId_-/"/>
    </mc:Choice>
  </mc:AlternateContent>
  <xr:revisionPtr revIDLastSave="16" documentId="13_ncr:1_{FF145D16-C858-4D37-BCD2-3E85C253A8DD}" xr6:coauthVersionLast="47" xr6:coauthVersionMax="47" xr10:uidLastSave="{C1283CA1-CE1F-46A2-BD30-B165551677A0}"/>
  <workbookProtection workbookAlgorithmName="SHA-512" workbookHashValue="PgTHuHAK9dtbqzByBhPrwQfDPbB2R72BHRhXvZ8OwYL0w1WcIchLuvoFNgYYjdPMbbqFwlJpo2q/ddK4dHrRzg==" workbookSaltValue="30wlqboGBamyqMi5W04KgA==" workbookSpinCount="100000" lockStructure="1"/>
  <bookViews>
    <workbookView xWindow="28680" yWindow="-3180" windowWidth="29040" windowHeight="15720" xr2:uid="{00000000-000D-0000-FFFF-FFFF00000000}"/>
  </bookViews>
  <sheets>
    <sheet name="Calculator" sheetId="1" r:id="rId1"/>
    <sheet name="Data" sheetId="2" state="hidden" r:id="rId2"/>
  </sheets>
  <definedNames>
    <definedName name="Grade">Data!$A$2:$A$2</definedName>
    <definedName name="Grades">Data!$A$2:$A$2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B5" i="2"/>
  <c r="A5" i="2"/>
  <c r="E24" i="1" l="1"/>
  <c r="B8" i="2"/>
  <c r="G56" i="1"/>
  <c r="G57" i="1"/>
  <c r="G58" i="1"/>
  <c r="G59" i="1"/>
  <c r="G60" i="1"/>
  <c r="F56" i="1"/>
  <c r="F57" i="1"/>
  <c r="F58" i="1"/>
  <c r="F59" i="1"/>
  <c r="F60" i="1"/>
  <c r="F61" i="1"/>
  <c r="D56" i="1"/>
  <c r="D57" i="1"/>
  <c r="D58" i="1"/>
  <c r="D59" i="1"/>
  <c r="B9" i="2" l="1"/>
  <c r="C9" i="2" l="1"/>
  <c r="D9" i="2" s="1"/>
  <c r="E56" i="1"/>
  <c r="I56" i="1" l="1"/>
  <c r="I57" i="1"/>
  <c r="I58" i="1"/>
  <c r="I59" i="1"/>
  <c r="G10" i="2"/>
  <c r="H10" i="2" s="1"/>
  <c r="G9" i="2"/>
  <c r="H9" i="2" s="1"/>
  <c r="I9" i="2" s="1"/>
  <c r="H56" i="1" s="1"/>
  <c r="G8" i="2"/>
  <c r="H41" i="1"/>
  <c r="F18" i="1"/>
  <c r="K34" i="1"/>
  <c r="D10" i="1"/>
  <c r="C5" i="2"/>
  <c r="D5" i="2" s="1"/>
  <c r="H40" i="1" s="1"/>
  <c r="H8" i="2" l="1"/>
  <c r="C8" i="2" l="1"/>
  <c r="D8" i="2" s="1"/>
  <c r="I8" i="2" s="1"/>
  <c r="B10" i="2" l="1"/>
  <c r="D66" i="1"/>
  <c r="C10" i="2" l="1"/>
  <c r="D10" i="2" s="1"/>
  <c r="I10" i="2" s="1"/>
  <c r="H57" i="1" s="1"/>
  <c r="E57" i="1"/>
  <c r="G62" i="1"/>
  <c r="G63" i="1"/>
  <c r="G64" i="1"/>
  <c r="G65" i="1"/>
  <c r="G66" i="1"/>
  <c r="F62" i="1"/>
  <c r="F63" i="1"/>
  <c r="F64" i="1"/>
  <c r="F65" i="1"/>
  <c r="F66" i="1"/>
  <c r="D62" i="1"/>
  <c r="D63" i="1"/>
  <c r="D64" i="1"/>
  <c r="D65" i="1"/>
  <c r="D35" i="1"/>
  <c r="B16" i="2"/>
  <c r="C16" i="2" s="1"/>
  <c r="D16" i="2" s="1"/>
  <c r="B15" i="2"/>
  <c r="E62" i="1" s="1"/>
  <c r="E63" i="1" l="1"/>
  <c r="C15" i="2"/>
  <c r="D15" i="2" s="1"/>
  <c r="I62" i="1"/>
  <c r="I63" i="1" l="1"/>
  <c r="I64" i="1"/>
  <c r="I65" i="1"/>
  <c r="I66" i="1"/>
  <c r="G15" i="2"/>
  <c r="H15" i="2" s="1"/>
  <c r="I15" i="2" s="1"/>
  <c r="H62" i="1" s="1"/>
  <c r="G16" i="2"/>
  <c r="H16" i="2" s="1"/>
  <c r="I16" i="2" s="1"/>
  <c r="H63" i="1" s="1"/>
  <c r="B18" i="2"/>
  <c r="E65" i="1" s="1"/>
  <c r="B17" i="2"/>
  <c r="E64" i="1" s="1"/>
  <c r="C17" i="2" l="1"/>
  <c r="D17" i="2" s="1"/>
  <c r="C18" i="2"/>
  <c r="D18" i="2" s="1"/>
  <c r="F10" i="1"/>
  <c r="F2" i="2" l="1"/>
  <c r="F11" i="1" l="1"/>
  <c r="G17" i="2" l="1"/>
  <c r="H17" i="2" s="1"/>
  <c r="G18" i="2"/>
  <c r="H18" i="2" s="1"/>
  <c r="G61" i="1"/>
  <c r="D61" i="1"/>
  <c r="I18" i="2" l="1"/>
  <c r="H65" i="1" s="1"/>
  <c r="I17" i="2"/>
  <c r="H64" i="1" s="1"/>
  <c r="H42" i="1"/>
  <c r="B14" i="2"/>
  <c r="E61" i="1" s="1"/>
  <c r="C14" i="2" l="1"/>
  <c r="D14" i="2" s="1"/>
  <c r="F55" i="1"/>
  <c r="I61" i="1"/>
  <c r="G14" i="2" l="1"/>
  <c r="H14" i="2" s="1"/>
  <c r="I14" i="2" s="1"/>
  <c r="H61" i="1" s="1"/>
  <c r="D60" i="1"/>
  <c r="E25" i="1"/>
  <c r="B12" i="2"/>
  <c r="E59" i="1" s="1"/>
  <c r="B13" i="2"/>
  <c r="E60" i="1" s="1"/>
  <c r="B19" i="2"/>
  <c r="E66" i="1" s="1"/>
  <c r="D2" i="2"/>
  <c r="D55" i="1"/>
  <c r="E55" i="1"/>
  <c r="B11" i="2"/>
  <c r="E58" i="1" s="1"/>
  <c r="G26" i="1"/>
  <c r="E35" i="1"/>
  <c r="F35" i="1"/>
  <c r="G35" i="1"/>
  <c r="H35" i="1"/>
  <c r="I35" i="1"/>
  <c r="J35" i="1"/>
  <c r="G55" i="1"/>
  <c r="F17" i="1" l="1"/>
  <c r="H10" i="1"/>
  <c r="C19" i="2"/>
  <c r="D19" i="2" s="1"/>
  <c r="C11" i="2"/>
  <c r="D11" i="2" s="1"/>
  <c r="C13" i="2"/>
  <c r="D13" i="2" s="1"/>
  <c r="C12" i="2"/>
  <c r="D12" i="2" s="1"/>
  <c r="G11" i="2"/>
  <c r="H11" i="2" s="1"/>
  <c r="G13" i="2"/>
  <c r="H13" i="2" s="1"/>
  <c r="G19" i="2"/>
  <c r="H19" i="2" s="1"/>
  <c r="I55" i="1"/>
  <c r="G12" i="2"/>
  <c r="H12" i="2" s="1"/>
  <c r="I60" i="1"/>
  <c r="I19" i="2" l="1"/>
  <c r="H66" i="1" s="1"/>
  <c r="H44" i="1"/>
  <c r="H48" i="1" s="1"/>
  <c r="I11" i="2"/>
  <c r="H58" i="1" s="1"/>
  <c r="H55" i="1"/>
  <c r="I13" i="2"/>
  <c r="H60" i="1" s="1"/>
  <c r="I12" i="2"/>
  <c r="H59" i="1" s="1"/>
  <c r="H68" i="1" l="1"/>
  <c r="H45" i="1" s="1"/>
  <c r="H49" i="1" l="1"/>
  <c r="H46" i="1"/>
</calcChain>
</file>

<file path=xl/sharedStrings.xml><?xml version="1.0" encoding="utf-8"?>
<sst xmlns="http://schemas.openxmlformats.org/spreadsheetml/2006/main" count="100" uniqueCount="82">
  <si>
    <t>Please complete the grey boxes</t>
  </si>
  <si>
    <r>
      <t xml:space="preserve">If you are a </t>
    </r>
    <r>
      <rPr>
        <b/>
        <u/>
        <sz val="11"/>
        <color rgb="FF007A87"/>
        <rFont val="Calibri"/>
        <family val="2"/>
        <scheme val="minor"/>
      </rPr>
      <t>full time</t>
    </r>
    <r>
      <rPr>
        <sz val="11"/>
        <color theme="1"/>
        <rFont val="Calibri"/>
        <family val="2"/>
        <scheme val="minor"/>
      </rPr>
      <t xml:space="preserve"> member of staff employed for a </t>
    </r>
    <r>
      <rPr>
        <b/>
        <u/>
        <sz val="11"/>
        <color rgb="FF007A87"/>
        <rFont val="Calibri"/>
        <family val="2"/>
        <scheme val="minor"/>
      </rPr>
      <t>full year</t>
    </r>
    <r>
      <rPr>
        <sz val="11"/>
        <color theme="1"/>
        <rFont val="Calibri"/>
        <family val="2"/>
        <scheme val="minor"/>
      </rPr>
      <t xml:space="preserve"> your entitlement will be as follows:</t>
    </r>
  </si>
  <si>
    <t>Annual Leave Entitlement</t>
  </si>
  <si>
    <t>Bank holiday/Closure Days Entitlement</t>
  </si>
  <si>
    <t>Total Entitlement</t>
  </si>
  <si>
    <t>If you have carryover/are part time/have started or are leaving part way through the year continue to step 2.</t>
  </si>
  <si>
    <t>Step 2:</t>
  </si>
  <si>
    <r>
      <t xml:space="preserve">If you have carryover from the last annual leave year enter the number of </t>
    </r>
    <r>
      <rPr>
        <b/>
        <u/>
        <sz val="11"/>
        <color theme="1"/>
        <rFont val="Calibri"/>
        <family val="2"/>
        <scheme val="minor"/>
      </rPr>
      <t>hours</t>
    </r>
    <r>
      <rPr>
        <sz val="11"/>
        <color theme="1"/>
        <rFont val="Calibri"/>
        <family val="2"/>
        <scheme val="minor"/>
      </rPr>
      <t xml:space="preserve"> here: </t>
    </r>
  </si>
  <si>
    <t>Your overall AL and BH entitlement in hours is:</t>
  </si>
  <si>
    <t>If you are part time/have started or are leaving part way through the year continue to step 3.</t>
  </si>
  <si>
    <t>Step 3:</t>
  </si>
  <si>
    <r>
      <t xml:space="preserve">If you have started or are leaving </t>
    </r>
    <r>
      <rPr>
        <b/>
        <u/>
        <sz val="11"/>
        <color rgb="FF007A87"/>
        <rFont val="Calibri"/>
        <family val="2"/>
        <scheme val="minor"/>
      </rPr>
      <t>part way</t>
    </r>
    <r>
      <rPr>
        <sz val="11"/>
        <color theme="1"/>
        <rFont val="Calibri"/>
        <family val="2"/>
        <scheme val="minor"/>
      </rPr>
      <t xml:space="preserve"> through the year please fill in steps 3-5, if not complete steps 4 &amp; 5.</t>
    </r>
  </si>
  <si>
    <t>If you started after:</t>
  </si>
  <si>
    <t>enter your start date:</t>
  </si>
  <si>
    <t>If you leave before:</t>
  </si>
  <si>
    <t>enter your leaving date:</t>
  </si>
  <si>
    <t>Step 4:</t>
  </si>
  <si>
    <t>Enter the number of hours you work per week:</t>
  </si>
  <si>
    <t>Step 5</t>
  </si>
  <si>
    <t>Enter the number of hours you work each day in decimals: e.g. 3.6  (if you are unsure please check your working pattern on HR Organiser)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</si>
  <si>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</si>
  <si>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</si>
  <si>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</si>
  <si>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</si>
  <si>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</si>
  <si>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</si>
  <si>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</si>
  <si>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</si>
  <si>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The following only applies to those who are part time/have started or are leaving part way through the year.  If you are a full time employee with carryover see steps 1 and 2.</t>
  </si>
  <si>
    <t xml:space="preserve">Your pro rata annual leave entitlement for this leave year is: </t>
  </si>
  <si>
    <t xml:space="preserve">Your carryover for the year is: </t>
  </si>
  <si>
    <r>
      <t xml:space="preserve">Your pro rata annual leave entitlement </t>
    </r>
    <r>
      <rPr>
        <b/>
        <u/>
        <sz val="12"/>
        <rFont val="Calibri"/>
        <family val="2"/>
        <scheme val="minor"/>
      </rPr>
      <t>including carryover</t>
    </r>
    <r>
      <rPr>
        <b/>
        <sz val="12"/>
        <rFont val="Calibri"/>
        <family val="2"/>
        <scheme val="minor"/>
      </rPr>
      <t xml:space="preserve"> for this leave year is: </t>
    </r>
  </si>
  <si>
    <t>Your pro rata bank holiday/closure day entitlement for this leave year is:</t>
  </si>
  <si>
    <t>The total hours you would have worked on Bank Holiday/Closure Days are:</t>
  </si>
  <si>
    <t>The hours you gain/owe the University for bank holiday/closure days are:</t>
  </si>
  <si>
    <t>Your annual leave balance and hours available to book are:</t>
  </si>
  <si>
    <t>Date</t>
  </si>
  <si>
    <t>Day</t>
  </si>
  <si>
    <t>Occasion</t>
  </si>
  <si>
    <t>BH/Closure Day</t>
  </si>
  <si>
    <t>Deductions</t>
  </si>
  <si>
    <t>Total hours deducted for bank holiday/closure days:</t>
  </si>
  <si>
    <t>Annual Leave</t>
  </si>
  <si>
    <t>BH/Closure</t>
  </si>
  <si>
    <t>Total</t>
  </si>
  <si>
    <t>All UoE Grades</t>
  </si>
  <si>
    <t>^ Baseline allowance</t>
  </si>
  <si>
    <t>^ Baseline A/L plus BH &amp; closure days</t>
  </si>
  <si>
    <t>Start Date</t>
  </si>
  <si>
    <t>End Date</t>
  </si>
  <si>
    <t>Number of days between period</t>
  </si>
  <si>
    <t>Number of days (leap year)</t>
  </si>
  <si>
    <t>^ This will show start of leave year by default, or staff member's start date if it's after the start of the leave year</t>
  </si>
  <si>
    <t>^ This will show end of leave year by default, or staff member's end date if it's before the end of the leave year</t>
  </si>
  <si>
    <t>^ Days between staff member's start date (A5) and end date (B5)</t>
  </si>
  <si>
    <t>^ Leave year start date</t>
  </si>
  <si>
    <t>^ Leave year end date</t>
  </si>
  <si>
    <t>Day Number</t>
  </si>
  <si>
    <t>Working Pattern</t>
  </si>
  <si>
    <t>Employed</t>
  </si>
  <si>
    <t>TRUE (1)/FALSE (0)</t>
  </si>
  <si>
    <t>Duration of BH/CL</t>
  </si>
  <si>
    <t>Summer</t>
  </si>
  <si>
    <t>Bank Holiday</t>
  </si>
  <si>
    <t>Christmas Eve</t>
  </si>
  <si>
    <t>Closure Day</t>
  </si>
  <si>
    <t>Christmas Day</t>
  </si>
  <si>
    <t>Boxing Day</t>
  </si>
  <si>
    <t>University Closure</t>
  </si>
  <si>
    <t>New Year's Day</t>
  </si>
  <si>
    <t>Good Friday</t>
  </si>
  <si>
    <t>Easter Monday</t>
  </si>
  <si>
    <t>Early May Bank Holiday</t>
  </si>
  <si>
    <t>Spring Bank Holiday</t>
  </si>
  <si>
    <t>^ Day of the week where Monday = 1, Tuesday = 2 etc</t>
  </si>
  <si>
    <t>^ This is pulled from what the staff member inputs as their hours worked each day on the Calculator sheet</t>
  </si>
  <si>
    <t>^ Shows 'TRUE' if this date falls between the staff member's start and end dates (see row 5)</t>
  </si>
  <si>
    <t>^ If the Employed column shows 'TRUE' there will be a 1 in this column</t>
  </si>
  <si>
    <t>^ This is the staff member's usual working hours on the date in question, therefore how much leave they are due for that BH/closure</t>
  </si>
  <si>
    <t>ANNUAL LEAVE CALCULATOR 2026/27</t>
  </si>
  <si>
    <t>Bank holiday and closure days 2026/27:</t>
  </si>
  <si>
    <t>BH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</si>
</sst>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rgb="FF007A8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A8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87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7A87"/>
      </bottom>
      <diagonal/>
    </border>
    <border>
      <left/>
      <right style="thick">
        <color rgb="FF007A87"/>
      </right>
      <top style="thick">
        <color rgb="FF007A87"/>
      </top>
      <bottom/>
      <diagonal/>
    </border>
    <border>
      <left style="thick">
        <color rgb="FF007A87"/>
      </left>
      <right/>
      <top style="thick">
        <color rgb="FF007A87"/>
      </top>
      <bottom/>
      <diagonal/>
    </border>
    <border>
      <left/>
      <right/>
      <top style="thick">
        <color rgb="FF007A87"/>
      </top>
      <bottom/>
      <diagonal/>
    </border>
    <border>
      <left style="thick">
        <color rgb="FF007A87"/>
      </left>
      <right/>
      <top/>
      <bottom/>
      <diagonal/>
    </border>
    <border>
      <left/>
      <right style="thick">
        <color rgb="FF007A87"/>
      </right>
      <top/>
      <bottom/>
      <diagonal/>
    </border>
    <border>
      <left style="thick">
        <color rgb="FF007A87"/>
      </left>
      <right/>
      <top/>
      <bottom style="thick">
        <color rgb="FF007A87"/>
      </bottom>
      <diagonal/>
    </border>
    <border>
      <left/>
      <right style="thick">
        <color rgb="FF007A87"/>
      </right>
      <top/>
      <bottom style="thick">
        <color rgb="FF007A8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3" borderId="10" applyNumberFormat="0" applyFont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0" xfId="1" applyFont="1"/>
    <xf numFmtId="15" fontId="0" fillId="3" borderId="10" xfId="1" applyNumberFormat="1" applyFont="1"/>
    <xf numFmtId="1" fontId="0" fillId="3" borderId="10" xfId="1" applyNumberFormat="1" applyFont="1"/>
    <xf numFmtId="0" fontId="2" fillId="3" borderId="10" xfId="1" applyFont="1" applyProtection="1">
      <protection locked="0"/>
    </xf>
    <xf numFmtId="0" fontId="0" fillId="3" borderId="10" xfId="1" applyFont="1" applyProtection="1">
      <protection locked="0"/>
    </xf>
    <xf numFmtId="15" fontId="0" fillId="3" borderId="10" xfId="1" applyNumberFormat="1" applyFont="1" applyAlignment="1" applyProtection="1">
      <alignment horizontal="left"/>
      <protection locked="0"/>
    </xf>
    <xf numFmtId="164" fontId="0" fillId="3" borderId="10" xfId="1" applyNumberFormat="1" applyFont="1" applyProtection="1">
      <protection locked="0"/>
    </xf>
    <xf numFmtId="0" fontId="2" fillId="3" borderId="10" xfId="1" applyFont="1"/>
    <xf numFmtId="0" fontId="2" fillId="0" borderId="0" xfId="0" applyFont="1"/>
    <xf numFmtId="165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9" xfId="0" applyBorder="1"/>
    <xf numFmtId="0" fontId="9" fillId="0" borderId="4" xfId="0" applyFont="1" applyBorder="1"/>
    <xf numFmtId="0" fontId="9" fillId="0" borderId="0" xfId="0" applyFont="1"/>
    <xf numFmtId="0" fontId="9" fillId="0" borderId="7" xfId="0" applyFont="1" applyBorder="1"/>
    <xf numFmtId="0" fontId="9" fillId="0" borderId="6" xfId="0" applyFont="1" applyBorder="1"/>
    <xf numFmtId="0" fontId="10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7" fillId="0" borderId="0" xfId="0" applyFont="1"/>
    <xf numFmtId="15" fontId="0" fillId="0" borderId="0" xfId="0" applyNumberForma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15" fontId="9" fillId="5" borderId="1" xfId="0" applyNumberFormat="1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5" fontId="8" fillId="3" borderId="10" xfId="1" applyNumberFormat="1" applyFont="1"/>
    <xf numFmtId="15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/>
    <xf numFmtId="0" fontId="9" fillId="0" borderId="2" xfId="0" applyFont="1" applyBorder="1"/>
    <xf numFmtId="0" fontId="0" fillId="0" borderId="0" xfId="0" applyAlignment="1">
      <alignment horizontal="right" vertical="center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/>
    <xf numFmtId="0" fontId="0" fillId="0" borderId="8" xfId="0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15" fillId="0" borderId="0" xfId="0" applyFont="1"/>
    <xf numFmtId="0" fontId="6" fillId="7" borderId="0" xfId="0" applyFont="1" applyFill="1"/>
    <xf numFmtId="0" fontId="1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545647</xdr:colOff>
      <xdr:row>8</xdr:row>
      <xdr:rowOff>95250</xdr:rowOff>
    </xdr:from>
    <xdr:to>
      <xdr:col>10</xdr:col>
      <xdr:colOff>1106033</xdr:colOff>
      <xdr:row>22</xdr:row>
      <xdr:rowOff>133349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679997" y="2057400"/>
          <a:ext cx="2617786" cy="2705099"/>
        </a:xfrm>
        <a:prstGeom prst="rect">
          <a:avLst/>
        </a:prstGeom>
        <a:noFill/>
        <a:ln>
          <a:solidFill>
            <a:srgbClr val="007A8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8</xdr:col>
      <xdr:colOff>640897</xdr:colOff>
      <xdr:row>8</xdr:row>
      <xdr:rowOff>140834</xdr:rowOff>
    </xdr:from>
    <xdr:to>
      <xdr:col>10</xdr:col>
      <xdr:colOff>1021896</xdr:colOff>
      <xdr:row>10</xdr:row>
      <xdr:rowOff>148772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775247" y="2102984"/>
          <a:ext cx="2438399" cy="3889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GB" sz="1600" b="1">
              <a:latin typeface="Calibri" pitchFamily="34" charset="0"/>
            </a:rPr>
            <a:t>HR Organiser</a:t>
          </a:r>
          <a:r>
            <a:rPr lang="en-GB" sz="1600" b="1" baseline="0">
              <a:latin typeface="Calibri" pitchFamily="34" charset="0"/>
            </a:rPr>
            <a:t> Terminology</a:t>
          </a:r>
          <a:endParaRPr lang="en-GB" sz="1600" b="1">
            <a:latin typeface="Calibri" pitchFamily="34" charset="0"/>
          </a:endParaRPr>
        </a:p>
      </xdr:txBody>
    </xdr:sp>
    <xdr:clientData/>
  </xdr:twoCellAnchor>
  <xdr:twoCellAnchor>
    <xdr:from>
      <xdr:col>8</xdr:col>
      <xdr:colOff>713923</xdr:colOff>
      <xdr:row>11</xdr:row>
      <xdr:rowOff>28121</xdr:rowOff>
    </xdr:from>
    <xdr:to>
      <xdr:col>10</xdr:col>
      <xdr:colOff>956810</xdr:colOff>
      <xdr:row>22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48273" y="2561771"/>
          <a:ext cx="2300287" cy="21340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1000"/>
            <a:t> </a:t>
          </a:r>
        </a:p>
        <a:p>
          <a:endParaRPr lang="en-GB" sz="1000"/>
        </a:p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10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1000"/>
            <a:t> </a:t>
          </a:r>
        </a:p>
        <a:p>
          <a:endParaRPr lang="en-GB" sz="1000"/>
        </a:p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1000"/>
            <a:t>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1000"/>
            <a:t> </a:t>
          </a:r>
        </a:p>
        <a:p>
          <a:endParaRPr lang="en-GB" sz="1000"/>
        </a:p>
        <a:p>
          <a:r>
            <a:rPr lang="en-GB" sz="10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10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1000"/>
            <a:t> </a:t>
          </a:r>
        </a:p>
      </xdr:txBody>
    </xdr:sp>
    <xdr:clientData/>
  </xdr:twoCellAnchor>
  <xdr:twoCellAnchor editAs="oneCell">
    <xdr:from>
      <xdr:col>9</xdr:col>
      <xdr:colOff>571651</xdr:colOff>
      <xdr:row>2</xdr:row>
      <xdr:rowOff>28575</xdr:rowOff>
    </xdr:from>
    <xdr:to>
      <xdr:col>11</xdr:col>
      <xdr:colOff>57150</xdr:colOff>
      <xdr:row>5</xdr:row>
      <xdr:rowOff>55388</xdr:rowOff>
    </xdr:to>
    <xdr:pic>
      <xdr:nvPicPr>
        <xdr:cNvPr id="2" name="Picture 1" descr="University of Essex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276" y="361950"/>
          <a:ext cx="1695299" cy="617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V71"/>
  <sheetViews>
    <sheetView showGridLines="0" showRowColHeaders="0" tabSelected="1" zoomScaleNormal="100" workbookViewId="0">
      <selection activeCell="D3" sqref="D3"/>
    </sheetView>
  </sheetViews>
  <sheetFormatPr defaultColWidth="9.140625" defaultRowHeight="15" x14ac:dyDescent="0.25"/>
  <cols>
    <col min="1" max="1" width="1.7109375" customWidth="1"/>
    <col min="2" max="3" width="3.85546875" customWidth="1"/>
    <col min="4" max="4" width="23.140625" customWidth="1"/>
    <col min="5" max="5" width="23.42578125" customWidth="1"/>
    <col min="6" max="6" width="24.85546875" customWidth="1"/>
    <col min="7" max="8" width="22" customWidth="1"/>
    <col min="9" max="9" width="15.85546875" customWidth="1"/>
    <col min="10" max="10" width="15" customWidth="1"/>
    <col min="11" max="11" width="18.140625" customWidth="1"/>
    <col min="12" max="12" width="7.42578125" customWidth="1"/>
  </cols>
  <sheetData>
    <row r="1" spans="1:22" ht="10.5" customHeight="1" thickBot="1" x14ac:dyDescent="0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2" ht="15.75" thickTop="1" x14ac:dyDescent="0.25">
      <c r="A2" s="14"/>
      <c r="B2" s="24"/>
      <c r="C2" s="44"/>
      <c r="D2" s="15"/>
      <c r="E2" s="15"/>
      <c r="F2" s="15"/>
      <c r="G2" s="15"/>
      <c r="H2" s="15"/>
      <c r="I2" s="15"/>
      <c r="J2" s="15"/>
      <c r="K2" s="15"/>
      <c r="L2" s="16"/>
    </row>
    <row r="3" spans="1:22" ht="23.25" x14ac:dyDescent="0.35">
      <c r="B3" s="27"/>
      <c r="C3" s="25"/>
      <c r="G3" s="41" t="s">
        <v>79</v>
      </c>
      <c r="L3" s="14"/>
      <c r="Q3" s="41"/>
    </row>
    <row r="4" spans="1:22" x14ac:dyDescent="0.25">
      <c r="B4" s="27"/>
      <c r="C4" s="25"/>
      <c r="G4" s="63" t="s">
        <v>0</v>
      </c>
      <c r="L4" s="14"/>
    </row>
    <row r="5" spans="1:22" ht="8.25" customHeight="1" x14ac:dyDescent="0.25">
      <c r="B5" s="27"/>
      <c r="C5" s="25"/>
      <c r="L5" s="14"/>
    </row>
    <row r="6" spans="1:22" x14ac:dyDescent="0.25">
      <c r="B6" s="27"/>
      <c r="C6" s="25"/>
      <c r="D6" t="s">
        <v>1</v>
      </c>
      <c r="L6" s="14"/>
    </row>
    <row r="7" spans="1:22" ht="9" customHeight="1" x14ac:dyDescent="0.25">
      <c r="B7" s="27"/>
      <c r="C7" s="25"/>
      <c r="L7" s="14"/>
      <c r="N7" s="17"/>
      <c r="O7" s="17"/>
      <c r="P7" s="17"/>
      <c r="Q7" s="17"/>
      <c r="R7" s="17"/>
      <c r="S7" s="17"/>
      <c r="T7" s="17"/>
    </row>
    <row r="8" spans="1:22" ht="7.5" customHeight="1" x14ac:dyDescent="0.25">
      <c r="B8" s="27"/>
      <c r="C8" s="25"/>
      <c r="L8" s="14"/>
      <c r="N8" s="19"/>
      <c r="O8" s="21"/>
      <c r="P8" s="52"/>
      <c r="Q8" s="53"/>
      <c r="R8" s="53"/>
      <c r="S8" s="53"/>
      <c r="T8" s="19"/>
    </row>
    <row r="9" spans="1:22" s="17" customFormat="1" x14ac:dyDescent="0.25">
      <c r="B9" s="45"/>
      <c r="C9" s="46"/>
      <c r="D9" s="17" t="s">
        <v>2</v>
      </c>
      <c r="F9" s="17" t="s">
        <v>3</v>
      </c>
      <c r="H9" s="17" t="s">
        <v>4</v>
      </c>
      <c r="J9"/>
      <c r="K9"/>
      <c r="L9" s="18"/>
      <c r="N9"/>
      <c r="O9" s="21"/>
      <c r="P9" s="53"/>
      <c r="Q9" s="52"/>
      <c r="R9" s="53"/>
      <c r="S9" s="53"/>
      <c r="T9"/>
      <c r="V9"/>
    </row>
    <row r="10" spans="1:22" s="19" customFormat="1" x14ac:dyDescent="0.25">
      <c r="B10" s="47"/>
      <c r="C10" s="48"/>
      <c r="D10" s="2" t="str">
        <f>Data!B2&amp;" days/"&amp;Data!B2*7.2&amp;" hrs"</f>
        <v>28 days/201.6 hrs</v>
      </c>
      <c r="F10" s="2" t="str">
        <f>Data!C2 &amp;" days/" &amp;Data!C2*7.2&amp;" hrs"</f>
        <v>12 days/86.4 hrs</v>
      </c>
      <c r="H10" s="2" t="str">
        <f>Data!D2&amp;" days/"&amp;Data!D2*7.2&amp;" hrs"</f>
        <v>40 days/288 hrs</v>
      </c>
      <c r="L10" s="20"/>
      <c r="N10"/>
      <c r="O10" s="51"/>
      <c r="P10" s="54"/>
      <c r="Q10" s="53"/>
      <c r="R10" s="52"/>
      <c r="S10" s="52"/>
      <c r="T10"/>
      <c r="V10"/>
    </row>
    <row r="11" spans="1:22" x14ac:dyDescent="0.25">
      <c r="B11" s="27"/>
      <c r="C11" s="25"/>
      <c r="E11" s="25"/>
      <c r="F11" s="22">
        <f>Data!B2*7.2</f>
        <v>201.6</v>
      </c>
      <c r="L11" s="14"/>
    </row>
    <row r="12" spans="1:22" x14ac:dyDescent="0.25">
      <c r="B12" s="27"/>
      <c r="C12" s="25"/>
      <c r="D12" s="63" t="s">
        <v>5</v>
      </c>
      <c r="E12" s="25"/>
      <c r="F12" s="22"/>
      <c r="L12" s="14"/>
    </row>
    <row r="13" spans="1:22" x14ac:dyDescent="0.25">
      <c r="B13" s="27"/>
      <c r="C13" s="25"/>
      <c r="E13" s="25"/>
      <c r="F13" s="22"/>
      <c r="L13" s="14"/>
    </row>
    <row r="14" spans="1:22" x14ac:dyDescent="0.25">
      <c r="B14" s="27"/>
      <c r="C14" s="25"/>
      <c r="D14" s="40" t="s">
        <v>6</v>
      </c>
      <c r="E14" s="25"/>
      <c r="F14" s="22"/>
      <c r="L14" s="14"/>
    </row>
    <row r="15" spans="1:22" x14ac:dyDescent="0.25">
      <c r="B15" s="27"/>
      <c r="C15" s="25"/>
      <c r="D15" t="s">
        <v>7</v>
      </c>
      <c r="H15" s="38"/>
      <c r="L15" s="14"/>
    </row>
    <row r="16" spans="1:22" x14ac:dyDescent="0.25">
      <c r="B16" s="27"/>
      <c r="C16" s="25"/>
      <c r="H16" s="22"/>
      <c r="L16" s="14"/>
      <c r="O16" s="66"/>
      <c r="P16" s="66"/>
      <c r="Q16" s="66"/>
      <c r="R16" s="66"/>
      <c r="S16" s="66"/>
    </row>
    <row r="17" spans="2:19" ht="15" customHeight="1" x14ac:dyDescent="0.25">
      <c r="B17" s="27"/>
      <c r="C17" s="25"/>
      <c r="E17" s="34" t="s">
        <v>8</v>
      </c>
      <c r="F17" s="2">
        <f>(Data!D2*7.2)+H15</f>
        <v>288</v>
      </c>
      <c r="L17" s="14"/>
      <c r="O17" s="66"/>
      <c r="P17" s="66"/>
      <c r="Q17" s="66"/>
      <c r="R17" s="66"/>
      <c r="S17" s="66"/>
    </row>
    <row r="18" spans="2:19" x14ac:dyDescent="0.25">
      <c r="B18" s="27"/>
      <c r="C18" s="25"/>
      <c r="F18" s="65">
        <f>(Data!B2*7.2)+H15</f>
        <v>201.6</v>
      </c>
      <c r="L18" s="14"/>
      <c r="O18" s="66"/>
      <c r="P18" s="66"/>
      <c r="Q18" s="66"/>
      <c r="R18" s="66"/>
      <c r="S18" s="66"/>
    </row>
    <row r="19" spans="2:19" x14ac:dyDescent="0.25">
      <c r="B19" s="27"/>
      <c r="C19" s="25"/>
      <c r="D19" s="63" t="s">
        <v>9</v>
      </c>
      <c r="F19" s="22"/>
      <c r="L19" s="14"/>
    </row>
    <row r="20" spans="2:19" x14ac:dyDescent="0.25">
      <c r="B20" s="27"/>
      <c r="C20" s="25"/>
      <c r="F20" s="22"/>
      <c r="L20" s="14"/>
    </row>
    <row r="21" spans="2:19" x14ac:dyDescent="0.25">
      <c r="B21" s="27"/>
      <c r="C21" s="25"/>
      <c r="D21" s="40" t="s">
        <v>10</v>
      </c>
      <c r="F21" s="22"/>
      <c r="L21" s="14"/>
    </row>
    <row r="22" spans="2:19" x14ac:dyDescent="0.25">
      <c r="B22" s="27"/>
      <c r="C22" s="25"/>
      <c r="D22" t="s">
        <v>11</v>
      </c>
      <c r="L22" s="14"/>
    </row>
    <row r="23" spans="2:19" ht="15.75" customHeight="1" x14ac:dyDescent="0.25">
      <c r="B23" s="27"/>
      <c r="C23" s="25"/>
      <c r="L23" s="14"/>
    </row>
    <row r="24" spans="2:19" ht="15" customHeight="1" x14ac:dyDescent="0.25">
      <c r="B24" s="27"/>
      <c r="C24" s="25"/>
      <c r="D24" t="s">
        <v>12</v>
      </c>
      <c r="E24" s="43">
        <f>Data!E5</f>
        <v>46235</v>
      </c>
      <c r="F24" t="s">
        <v>13</v>
      </c>
      <c r="G24" s="37"/>
      <c r="H24" s="63" t="str">
        <f>IF(ISBLANK(G24),"",IF(G24&gt;=E24," ","The date entered must be equal to or after 01/08/2026"))</f>
        <v/>
      </c>
      <c r="L24" s="14"/>
    </row>
    <row r="25" spans="2:19" x14ac:dyDescent="0.25">
      <c r="B25" s="27"/>
      <c r="C25" s="25"/>
      <c r="D25" t="s">
        <v>14</v>
      </c>
      <c r="E25" s="43">
        <f>Data!F5</f>
        <v>46599</v>
      </c>
      <c r="F25" t="s">
        <v>15</v>
      </c>
      <c r="G25" s="37"/>
      <c r="H25" s="63" t="str">
        <f>IF(G25&lt;=E25," ","The date entered must be equal to or before 31/07/2027")</f>
        <v xml:space="preserve"> </v>
      </c>
      <c r="L25" s="14"/>
    </row>
    <row r="26" spans="2:19" ht="15" customHeight="1" x14ac:dyDescent="0.25">
      <c r="B26" s="27"/>
      <c r="C26" s="25"/>
      <c r="G26" s="63" t="str">
        <f>IF(G25="","",IF(G25&lt;G24,"End date must be later than start date",""))</f>
        <v/>
      </c>
      <c r="L26" s="14"/>
    </row>
    <row r="27" spans="2:19" ht="15" customHeight="1" x14ac:dyDescent="0.25">
      <c r="B27" s="27"/>
      <c r="C27" s="25"/>
      <c r="D27" s="40" t="s">
        <v>16</v>
      </c>
      <c r="L27" s="14"/>
    </row>
    <row r="28" spans="2:19" x14ac:dyDescent="0.25">
      <c r="B28" s="27"/>
      <c r="C28" s="25"/>
      <c r="D28" t="s">
        <v>17</v>
      </c>
      <c r="G28" s="39"/>
      <c r="L28" s="14"/>
    </row>
    <row r="29" spans="2:19" x14ac:dyDescent="0.25">
      <c r="B29" s="27"/>
      <c r="C29" s="25"/>
      <c r="L29" s="14"/>
    </row>
    <row r="30" spans="2:19" x14ac:dyDescent="0.25">
      <c r="B30" s="27"/>
      <c r="C30" s="25"/>
      <c r="D30" s="40" t="s">
        <v>18</v>
      </c>
      <c r="L30" s="14"/>
    </row>
    <row r="31" spans="2:19" x14ac:dyDescent="0.25">
      <c r="B31" s="27"/>
      <c r="C31" s="25"/>
      <c r="D31" t="s">
        <v>19</v>
      </c>
      <c r="L31" s="14"/>
    </row>
    <row r="32" spans="2:19" x14ac:dyDescent="0.25">
      <c r="B32" s="27"/>
      <c r="C32" s="25"/>
      <c r="D32" s="64">
        <v>1</v>
      </c>
      <c r="E32" s="64">
        <v>2</v>
      </c>
      <c r="F32" s="64">
        <v>3</v>
      </c>
      <c r="G32" s="64">
        <v>4</v>
      </c>
      <c r="H32" s="64">
        <v>5</v>
      </c>
      <c r="I32" s="64">
        <v>6</v>
      </c>
      <c r="J32" s="64">
        <v>7</v>
      </c>
      <c r="L32" s="14"/>
    </row>
    <row r="33" spans="2:12" x14ac:dyDescent="0.25">
      <c r="B33" s="27"/>
      <c r="C33" s="25"/>
      <c r="D33" s="17" t="s">
        <v>20</v>
      </c>
      <c r="E33" s="17" t="s">
        <v>21</v>
      </c>
      <c r="F33" s="17" t="s">
        <v>22</v>
      </c>
      <c r="G33" s="17" t="s">
        <v>23</v>
      </c>
      <c r="H33" s="17" t="s">
        <v>24</v>
      </c>
      <c r="I33" s="17" t="s">
        <v>25</v>
      </c>
      <c r="J33" s="17" t="s">
        <v>26</v>
      </c>
      <c r="K33" s="17" t="s">
        <v>27</v>
      </c>
      <c r="L33" s="14"/>
    </row>
    <row r="34" spans="2:12" x14ac:dyDescent="0.25">
      <c r="B34" s="27"/>
      <c r="C34" s="25"/>
      <c r="D34" s="39"/>
      <c r="E34" s="39"/>
      <c r="F34" s="39"/>
      <c r="G34" s="39"/>
      <c r="H34" s="39"/>
      <c r="I34" s="39"/>
      <c r="J34" s="39"/>
      <c r="K34" s="59" t="str">
        <f>IF(SUM(D34:J34)=0,"",SUM(D34:J34))</f>
        <v/>
      </c>
      <c r="L34" s="14"/>
    </row>
    <row r="35" spans="2:12" x14ac:dyDescent="0.25">
      <c r="B35" s="27"/>
      <c r="C35" s="25"/>
      <c r="D35" s="36" t="str">
        <f>IF(ISBLANK(D34),"",(TEXT(D34/24,"hh:mm"))&amp;" (hrs:mins)")</f>
        <v/>
      </c>
      <c r="E35" s="36" t="str">
        <f t="shared" ref="E35:J35" si="0">IF(ISBLANK(E34),"",(TEXT(E34/24,"hh:mm"))&amp;" (hrs:mins)")</f>
        <v/>
      </c>
      <c r="F35" s="36" t="str">
        <f t="shared" si="0"/>
        <v/>
      </c>
      <c r="G35" s="36" t="str">
        <f t="shared" si="0"/>
        <v/>
      </c>
      <c r="H35" s="36" t="str">
        <f t="shared" si="0"/>
        <v/>
      </c>
      <c r="I35" s="61" t="str">
        <f t="shared" si="0"/>
        <v/>
      </c>
      <c r="J35" s="62" t="str">
        <f t="shared" si="0"/>
        <v/>
      </c>
      <c r="K35" s="60"/>
      <c r="L35" s="14"/>
    </row>
    <row r="36" spans="2:12" x14ac:dyDescent="0.25">
      <c r="B36" s="27"/>
      <c r="C36" s="25"/>
      <c r="L36" s="14"/>
    </row>
    <row r="37" spans="2:12" x14ac:dyDescent="0.25">
      <c r="B37" s="27"/>
      <c r="C37" s="25"/>
      <c r="D37" s="11" t="s">
        <v>28</v>
      </c>
      <c r="L37" s="14"/>
    </row>
    <row r="38" spans="2:12" ht="15.75" thickBot="1" x14ac:dyDescent="0.3">
      <c r="B38" s="27"/>
      <c r="C38" s="25"/>
      <c r="L38" s="14"/>
    </row>
    <row r="39" spans="2:12" ht="15.75" thickTop="1" x14ac:dyDescent="0.25">
      <c r="B39" s="27"/>
      <c r="C39" s="25"/>
      <c r="D39" s="24"/>
      <c r="E39" s="44"/>
      <c r="F39" s="44"/>
      <c r="G39" s="44"/>
      <c r="H39" s="44"/>
      <c r="I39" s="44"/>
      <c r="J39" s="55"/>
      <c r="L39" s="14"/>
    </row>
    <row r="40" spans="2:12" ht="15.75" x14ac:dyDescent="0.25">
      <c r="B40" s="27"/>
      <c r="C40" s="25"/>
      <c r="D40" s="27"/>
      <c r="E40" s="25"/>
      <c r="F40" s="25"/>
      <c r="G40" s="35" t="s">
        <v>29</v>
      </c>
      <c r="H40" s="57" t="str">
        <f>IF(ISBLANK(G28),"",(((F18-H15)/365*Data!D5)*(Calculator!G28/36)))</f>
        <v/>
      </c>
      <c r="I40" s="25"/>
      <c r="J40" s="26"/>
      <c r="L40" s="14"/>
    </row>
    <row r="41" spans="2:12" ht="15.75" x14ac:dyDescent="0.25">
      <c r="B41" s="27"/>
      <c r="C41" s="25"/>
      <c r="D41" s="27"/>
      <c r="E41" s="25"/>
      <c r="F41" s="25"/>
      <c r="G41" s="35" t="s">
        <v>30</v>
      </c>
      <c r="H41" s="57" t="str">
        <f>IF(ISBLANK(H15),"",H15)</f>
        <v/>
      </c>
      <c r="I41" s="25"/>
      <c r="J41" s="26"/>
      <c r="L41" s="14"/>
    </row>
    <row r="42" spans="2:12" ht="15.75" x14ac:dyDescent="0.25">
      <c r="B42" s="27"/>
      <c r="C42" s="25"/>
      <c r="D42" s="27"/>
      <c r="E42" s="25"/>
      <c r="F42" s="25"/>
      <c r="G42" s="28" t="s">
        <v>31</v>
      </c>
      <c r="H42" s="58" t="str">
        <f>IF(ISBLANK(G28),"",H40+H15)</f>
        <v/>
      </c>
      <c r="I42" s="25"/>
      <c r="J42" s="26"/>
      <c r="L42" s="14"/>
    </row>
    <row r="43" spans="2:12" ht="15.75" x14ac:dyDescent="0.25">
      <c r="B43" s="27"/>
      <c r="C43" s="25"/>
      <c r="D43" s="27"/>
      <c r="E43" s="25"/>
      <c r="F43" s="25"/>
      <c r="G43" s="28"/>
      <c r="H43" s="12"/>
      <c r="I43" s="25"/>
      <c r="J43" s="26"/>
      <c r="L43" s="14"/>
    </row>
    <row r="44" spans="2:12" ht="15.75" x14ac:dyDescent="0.25">
      <c r="B44" s="27"/>
      <c r="C44" s="25"/>
      <c r="D44" s="27"/>
      <c r="E44" s="25"/>
      <c r="F44" s="25"/>
      <c r="G44" s="35" t="s">
        <v>32</v>
      </c>
      <c r="H44" s="57" t="str">
        <f>IF(ISBLANK(G28),"",(((COUNTBLANK(I55:I66))*7.2)/36*G28))</f>
        <v/>
      </c>
      <c r="I44" s="25"/>
      <c r="J44" s="26"/>
      <c r="L44" s="14"/>
    </row>
    <row r="45" spans="2:12" ht="15.75" x14ac:dyDescent="0.25">
      <c r="B45" s="27"/>
      <c r="C45" s="25"/>
      <c r="D45" s="27"/>
      <c r="E45" s="25"/>
      <c r="F45" s="25"/>
      <c r="G45" s="35" t="s">
        <v>33</v>
      </c>
      <c r="H45" s="57" t="str">
        <f>IF(ISBLANK(G28),"",H68)</f>
        <v/>
      </c>
      <c r="I45" s="25"/>
      <c r="J45" s="26"/>
      <c r="L45" s="14"/>
    </row>
    <row r="46" spans="2:12" ht="15.75" x14ac:dyDescent="0.25">
      <c r="B46" s="27"/>
      <c r="C46" s="25"/>
      <c r="D46" s="27"/>
      <c r="E46" s="25"/>
      <c r="F46" s="25"/>
      <c r="G46" s="35" t="s">
        <v>34</v>
      </c>
      <c r="H46" s="57" t="str">
        <f>IF(ISBLANK(G28),"",(H44-H45))</f>
        <v/>
      </c>
      <c r="I46" s="25"/>
      <c r="J46" s="26"/>
      <c r="L46" s="14"/>
    </row>
    <row r="47" spans="2:12" ht="15.75" x14ac:dyDescent="0.25">
      <c r="B47" s="27"/>
      <c r="C47" s="25"/>
      <c r="D47" s="27"/>
      <c r="E47" s="25"/>
      <c r="F47" s="25"/>
      <c r="G47" s="28"/>
      <c r="H47" s="12"/>
      <c r="I47" s="25"/>
      <c r="J47" s="26"/>
      <c r="L47" s="14"/>
    </row>
    <row r="48" spans="2:12" ht="15.75" x14ac:dyDescent="0.25">
      <c r="B48" s="27"/>
      <c r="C48" s="25"/>
      <c r="D48" s="27"/>
      <c r="E48" s="25"/>
      <c r="F48" s="25"/>
      <c r="G48" s="34" t="s">
        <v>8</v>
      </c>
      <c r="H48" s="57" t="str">
        <f>IF(ISBLANK(G28),"",(H42+H44))</f>
        <v/>
      </c>
      <c r="I48" s="25"/>
      <c r="J48" s="26"/>
      <c r="L48" s="14"/>
    </row>
    <row r="49" spans="2:12" ht="15.75" x14ac:dyDescent="0.25">
      <c r="B49" s="27"/>
      <c r="C49" s="25"/>
      <c r="D49" s="27"/>
      <c r="E49" s="25"/>
      <c r="F49" s="25"/>
      <c r="G49" s="28" t="s">
        <v>35</v>
      </c>
      <c r="H49" s="57" t="str">
        <f>IF(ISBLANK(G28),"",(SUM(H48-H45)))</f>
        <v/>
      </c>
      <c r="I49" s="25"/>
      <c r="J49" s="26"/>
      <c r="L49" s="14"/>
    </row>
    <row r="50" spans="2:12" ht="16.5" customHeight="1" thickBot="1" x14ac:dyDescent="0.3">
      <c r="B50" s="27"/>
      <c r="C50" s="25"/>
      <c r="D50" s="56"/>
      <c r="E50" s="13"/>
      <c r="F50" s="13"/>
      <c r="G50" s="13"/>
      <c r="H50" s="13"/>
      <c r="I50" s="13"/>
      <c r="J50" s="23"/>
      <c r="L50" s="14"/>
    </row>
    <row r="51" spans="2:12" ht="15" customHeight="1" thickTop="1" x14ac:dyDescent="0.25">
      <c r="B51" s="27"/>
      <c r="C51" s="25"/>
      <c r="L51" s="14"/>
    </row>
    <row r="52" spans="2:12" x14ac:dyDescent="0.25">
      <c r="B52" s="27"/>
      <c r="C52" s="25"/>
      <c r="D52" t="s">
        <v>80</v>
      </c>
      <c r="L52" s="14"/>
    </row>
    <row r="53" spans="2:12" x14ac:dyDescent="0.25">
      <c r="B53" s="27"/>
      <c r="C53" s="25"/>
      <c r="L53" s="14"/>
    </row>
    <row r="54" spans="2:12" x14ac:dyDescent="0.25">
      <c r="B54" s="27"/>
      <c r="C54" s="25"/>
      <c r="D54" s="29" t="s">
        <v>36</v>
      </c>
      <c r="E54" s="29" t="s">
        <v>37</v>
      </c>
      <c r="F54" s="29" t="s">
        <v>38</v>
      </c>
      <c r="G54" s="29" t="s">
        <v>39</v>
      </c>
      <c r="H54" s="29" t="s">
        <v>40</v>
      </c>
      <c r="L54" s="14"/>
    </row>
    <row r="55" spans="2:12" x14ac:dyDescent="0.25">
      <c r="B55" s="27"/>
      <c r="C55" s="25"/>
      <c r="D55" s="30">
        <f>Data!A8</f>
        <v>46265</v>
      </c>
      <c r="E55" s="31">
        <f>Data!B8</f>
        <v>46265</v>
      </c>
      <c r="F55" s="1" t="str">
        <f>Data!E8</f>
        <v>Summer</v>
      </c>
      <c r="G55" s="1" t="str">
        <f>Data!F8</f>
        <v>Bank Holiday</v>
      </c>
      <c r="H55" s="36">
        <f>Data!I8</f>
        <v>0</v>
      </c>
      <c r="I55" s="32" t="str">
        <f>IF(D55&gt;Data!$B$5,"After leave date",(IF(Calculator!D55&lt;Data!$A$5,"Before start date","")))</f>
        <v/>
      </c>
      <c r="L55" s="14"/>
    </row>
    <row r="56" spans="2:12" x14ac:dyDescent="0.25">
      <c r="B56" s="27"/>
      <c r="C56" s="25"/>
      <c r="D56" s="30">
        <f>Data!A9</f>
        <v>46380</v>
      </c>
      <c r="E56" s="31">
        <f>Data!B9</f>
        <v>46380</v>
      </c>
      <c r="F56" s="1" t="str">
        <f>Data!E9</f>
        <v>Christmas Eve</v>
      </c>
      <c r="G56" s="1" t="str">
        <f>Data!F9</f>
        <v>Closure Day</v>
      </c>
      <c r="H56" s="36">
        <f>Data!I9</f>
        <v>0</v>
      </c>
      <c r="I56" s="32" t="str">
        <f>IF(D56&gt;Data!$B$5,"After leave date",(IF(Calculator!D56&lt;Data!$A$5,"Before start date","")))</f>
        <v/>
      </c>
      <c r="L56" s="14"/>
    </row>
    <row r="57" spans="2:12" x14ac:dyDescent="0.25">
      <c r="B57" s="27"/>
      <c r="C57" s="25"/>
      <c r="D57" s="30">
        <f>Data!A10</f>
        <v>46381</v>
      </c>
      <c r="E57" s="31">
        <f>Data!B10</f>
        <v>46381</v>
      </c>
      <c r="F57" s="1" t="str">
        <f>Data!E10</f>
        <v>Christmas Day</v>
      </c>
      <c r="G57" s="1" t="str">
        <f>Data!F10</f>
        <v>Bank Holiday</v>
      </c>
      <c r="H57" s="36">
        <f>Data!I10</f>
        <v>0</v>
      </c>
      <c r="I57" s="32" t="str">
        <f>IF(D57&gt;Data!$B$5,"After leave date",(IF(Calculator!D57&lt;Data!$A$5,"Before start date","")))</f>
        <v/>
      </c>
      <c r="L57" s="14"/>
    </row>
    <row r="58" spans="2:12" x14ac:dyDescent="0.25">
      <c r="B58" s="27"/>
      <c r="C58" s="25"/>
      <c r="D58" s="30">
        <f>Data!A11</f>
        <v>46384</v>
      </c>
      <c r="E58" s="31">
        <f>Data!B11</f>
        <v>46384</v>
      </c>
      <c r="F58" s="1" t="str">
        <f>Data!E11</f>
        <v>Boxing Day</v>
      </c>
      <c r="G58" s="1" t="str">
        <f>Data!F11</f>
        <v>BH (substitute day)</v>
      </c>
      <c r="H58" s="36">
        <f>Data!I11</f>
        <v>0</v>
      </c>
      <c r="I58" s="32" t="str">
        <f>IF(D58&gt;Data!$B$5,"After leave date",(IF(Calculator!D58&lt;Data!$A$5,"Before start date","")))</f>
        <v/>
      </c>
      <c r="L58" s="14"/>
    </row>
    <row r="59" spans="2:12" x14ac:dyDescent="0.25">
      <c r="B59" s="27"/>
      <c r="C59" s="25"/>
      <c r="D59" s="30">
        <f>Data!A12</f>
        <v>46385</v>
      </c>
      <c r="E59" s="31">
        <f>Data!B12</f>
        <v>46385</v>
      </c>
      <c r="F59" s="1" t="str">
        <f>Data!E12</f>
        <v>University Closure</v>
      </c>
      <c r="G59" s="1" t="str">
        <f>Data!F12</f>
        <v>Closure Day</v>
      </c>
      <c r="H59" s="36">
        <f>Data!I12</f>
        <v>0</v>
      </c>
      <c r="I59" s="32" t="str">
        <f>IF(D59&gt;Data!$B$5,"After leave date",(IF(Calculator!D59&lt;Data!$A$5,"Before start date","")))</f>
        <v/>
      </c>
      <c r="L59" s="14"/>
    </row>
    <row r="60" spans="2:12" x14ac:dyDescent="0.25">
      <c r="B60" s="27"/>
      <c r="C60" s="25"/>
      <c r="D60" s="30">
        <f>Data!A13</f>
        <v>46386</v>
      </c>
      <c r="E60" s="31">
        <f>Data!B13</f>
        <v>46386</v>
      </c>
      <c r="F60" s="1" t="str">
        <f>Data!E13</f>
        <v>University Closure</v>
      </c>
      <c r="G60" s="1" t="str">
        <f>Data!F13</f>
        <v>Closure Day</v>
      </c>
      <c r="H60" s="36">
        <f>Data!I13</f>
        <v>0</v>
      </c>
      <c r="I60" s="32" t="str">
        <f>IF(D60&gt;Data!$B$5,"After leave date",(IF(Calculator!D60&lt;Data!$A$5,"Before start date","")))</f>
        <v/>
      </c>
      <c r="L60" s="14"/>
    </row>
    <row r="61" spans="2:12" x14ac:dyDescent="0.25">
      <c r="B61" s="27"/>
      <c r="C61" s="25"/>
      <c r="D61" s="30">
        <f>Data!A14</f>
        <v>46387</v>
      </c>
      <c r="E61" s="31">
        <f>Data!B14</f>
        <v>46387</v>
      </c>
      <c r="F61" s="1" t="str">
        <f>Data!E14</f>
        <v>University Closure</v>
      </c>
      <c r="G61" s="1" t="str">
        <f>Data!F14</f>
        <v>Closure Day</v>
      </c>
      <c r="H61" s="36">
        <f>Data!I14</f>
        <v>0</v>
      </c>
      <c r="I61" s="32" t="str">
        <f>IF(D61&gt;Data!$B$5,"After leave date",(IF(Calculator!D61&lt;Data!$A$5,"Before start date","")))</f>
        <v/>
      </c>
      <c r="L61" s="14"/>
    </row>
    <row r="62" spans="2:12" x14ac:dyDescent="0.25">
      <c r="B62" s="27"/>
      <c r="C62" s="25"/>
      <c r="D62" s="30">
        <f>Data!A15</f>
        <v>46388</v>
      </c>
      <c r="E62" s="31">
        <f>Data!B15</f>
        <v>46388</v>
      </c>
      <c r="F62" s="1" t="str">
        <f>Data!E15</f>
        <v>New Year's Day</v>
      </c>
      <c r="G62" s="1" t="str">
        <f>Data!F15</f>
        <v>Bank Holiday</v>
      </c>
      <c r="H62" s="36">
        <f>Data!I15</f>
        <v>0</v>
      </c>
      <c r="I62" s="32" t="str">
        <f>IF(D62&gt;Data!$B$5,"After leave date",(IF(Calculator!D62&lt;Data!$A$5,"Before start date","")))</f>
        <v/>
      </c>
      <c r="L62" s="14"/>
    </row>
    <row r="63" spans="2:12" x14ac:dyDescent="0.25">
      <c r="B63" s="27"/>
      <c r="C63" s="25"/>
      <c r="D63" s="30">
        <f>Data!A16</f>
        <v>46472</v>
      </c>
      <c r="E63" s="31">
        <f>Data!B16</f>
        <v>46472</v>
      </c>
      <c r="F63" s="1" t="str">
        <f>Data!E16</f>
        <v>Good Friday</v>
      </c>
      <c r="G63" s="1" t="str">
        <f>Data!F16</f>
        <v>Bank Holiday</v>
      </c>
      <c r="H63" s="36">
        <f>Data!I16</f>
        <v>0</v>
      </c>
      <c r="I63" s="32" t="str">
        <f>IF(D63&gt;Data!$B$5,"After leave date",(IF(Calculator!D63&lt;Data!$A$5,"Before start date","")))</f>
        <v/>
      </c>
      <c r="L63" s="14"/>
    </row>
    <row r="64" spans="2:12" x14ac:dyDescent="0.25">
      <c r="B64" s="27"/>
      <c r="C64" s="25"/>
      <c r="D64" s="30">
        <f>Data!A17</f>
        <v>46475</v>
      </c>
      <c r="E64" s="31">
        <f>Data!B17</f>
        <v>46475</v>
      </c>
      <c r="F64" s="1" t="str">
        <f>Data!E17</f>
        <v>Easter Monday</v>
      </c>
      <c r="G64" s="1" t="str">
        <f>Data!F17</f>
        <v>Bank Holiday</v>
      </c>
      <c r="H64" s="36">
        <f>Data!I17</f>
        <v>0</v>
      </c>
      <c r="I64" s="32" t="str">
        <f>IF(D64&gt;Data!$B$5,"After leave date",(IF(Calculator!D64&lt;Data!$A$5,"Before start date","")))</f>
        <v/>
      </c>
      <c r="L64" s="14"/>
    </row>
    <row r="65" spans="2:12" x14ac:dyDescent="0.25">
      <c r="B65" s="27"/>
      <c r="C65" s="25"/>
      <c r="D65" s="30">
        <f>Data!A18</f>
        <v>46510</v>
      </c>
      <c r="E65" s="31">
        <f>Data!B18</f>
        <v>46510</v>
      </c>
      <c r="F65" s="1" t="str">
        <f>Data!E18</f>
        <v>Early May Bank Holiday</v>
      </c>
      <c r="G65" s="1" t="str">
        <f>Data!F18</f>
        <v>Bank Holiday</v>
      </c>
      <c r="H65" s="36">
        <f>Data!I18</f>
        <v>0</v>
      </c>
      <c r="I65" s="32" t="str">
        <f>IF(D65&gt;Data!$B$5,"After leave date",(IF(Calculator!D65&lt;Data!$A$5,"Before start date","")))</f>
        <v/>
      </c>
      <c r="L65" s="14"/>
    </row>
    <row r="66" spans="2:12" x14ac:dyDescent="0.25">
      <c r="B66" s="27"/>
      <c r="C66" s="25"/>
      <c r="D66" s="30">
        <f>Data!A19</f>
        <v>46538</v>
      </c>
      <c r="E66" s="31">
        <f>Data!B19</f>
        <v>46538</v>
      </c>
      <c r="F66" s="1" t="str">
        <f>Data!E19</f>
        <v>Spring Bank Holiday</v>
      </c>
      <c r="G66" s="1" t="str">
        <f>Data!F19</f>
        <v>Bank Holiday</v>
      </c>
      <c r="H66" s="36">
        <f>Data!I19</f>
        <v>0</v>
      </c>
      <c r="I66" s="32" t="str">
        <f>IF(D66&gt;Data!$B$5,"After leave date",(IF(Calculator!D66&lt;Data!$A$5,"Before start date","")))</f>
        <v/>
      </c>
      <c r="L66" s="14"/>
    </row>
    <row r="67" spans="2:12" x14ac:dyDescent="0.25">
      <c r="B67" s="27"/>
      <c r="C67" s="25"/>
      <c r="D67" s="33"/>
      <c r="L67" s="14"/>
    </row>
    <row r="68" spans="2:12" x14ac:dyDescent="0.25">
      <c r="B68" s="27"/>
      <c r="C68" s="25"/>
      <c r="G68" s="21" t="s">
        <v>41</v>
      </c>
      <c r="H68" s="36">
        <f>SUM(H55:H66)</f>
        <v>0</v>
      </c>
      <c r="L68" s="14"/>
    </row>
    <row r="69" spans="2:12" x14ac:dyDescent="0.25">
      <c r="B69" s="27"/>
      <c r="C69" s="25"/>
      <c r="L69" s="14"/>
    </row>
    <row r="70" spans="2:12" ht="15.75" thickBot="1" x14ac:dyDescent="0.3">
      <c r="B70" s="49"/>
      <c r="C70" s="50"/>
      <c r="D70" s="13"/>
      <c r="E70" s="13"/>
      <c r="F70" s="13"/>
      <c r="G70" s="13"/>
      <c r="H70" s="13"/>
      <c r="I70" s="13"/>
      <c r="J70" s="13"/>
      <c r="K70" s="13"/>
      <c r="L70" s="23"/>
    </row>
    <row r="71" spans="2:12" ht="15.75" thickTop="1" x14ac:dyDescent="0.25"/>
  </sheetData>
  <sheetProtection algorithmName="SHA-512" hashValue="hi7EwwmXKVG8718iqxjeODzRKGdwORnETZisseYcbeb3DRDeV9s5gqwsj1IyeLoMlSWQRZhlVOaVgzwWO9ebmQ==" saltValue="SlXvbeZB/cOiinVODxA2vA==" spinCount="100000" sheet="1" objects="1" scenarios="1"/>
  <mergeCells count="1">
    <mergeCell ref="O16:S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0"/>
  <sheetViews>
    <sheetView showGridLines="0" workbookViewId="0">
      <selection activeCell="D25" sqref="D25"/>
    </sheetView>
  </sheetViews>
  <sheetFormatPr defaultRowHeight="15" x14ac:dyDescent="0.25"/>
  <cols>
    <col min="1" max="1" width="30.5703125" bestFit="1" customWidth="1"/>
    <col min="2" max="2" width="12.85546875" bestFit="1" customWidth="1"/>
    <col min="3" max="3" width="30.42578125" bestFit="1" customWidth="1"/>
    <col min="4" max="4" width="25.570312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1" customFormat="1" x14ac:dyDescent="0.25">
      <c r="A1" s="10"/>
      <c r="B1" s="10" t="s">
        <v>42</v>
      </c>
      <c r="C1" s="10" t="s">
        <v>43</v>
      </c>
      <c r="D1" s="10" t="s">
        <v>44</v>
      </c>
    </row>
    <row r="2" spans="1:9" x14ac:dyDescent="0.25">
      <c r="A2" s="3" t="s">
        <v>45</v>
      </c>
      <c r="B2" s="3">
        <v>28</v>
      </c>
      <c r="C2" s="3">
        <v>12</v>
      </c>
      <c r="D2" s="3">
        <f t="shared" ref="D2" si="0">B2+C2</f>
        <v>40</v>
      </c>
      <c r="F2">
        <f>IF(ISBLANK(Calculator!G28),36)</f>
        <v>36</v>
      </c>
    </row>
    <row r="3" spans="1:9" x14ac:dyDescent="0.25">
      <c r="B3" t="s">
        <v>46</v>
      </c>
      <c r="D3" t="s">
        <v>47</v>
      </c>
    </row>
    <row r="4" spans="1:9" s="11" customFormat="1" x14ac:dyDescent="0.25">
      <c r="A4" s="10" t="s">
        <v>48</v>
      </c>
      <c r="B4" s="10" t="s">
        <v>49</v>
      </c>
      <c r="C4" s="10" t="s">
        <v>50</v>
      </c>
      <c r="D4" s="10" t="s">
        <v>51</v>
      </c>
      <c r="E4" s="10" t="s">
        <v>48</v>
      </c>
      <c r="F4" s="10" t="s">
        <v>49</v>
      </c>
    </row>
    <row r="5" spans="1:9" x14ac:dyDescent="0.25">
      <c r="A5" s="4">
        <f>IF(ISBLANK(Calculator!G24),DATEVALUE("01/08/2026"),Calculator!G24)</f>
        <v>46235</v>
      </c>
      <c r="B5" s="4">
        <f>IF(ISBLANK(Calculator!G25),DATEVALUE("31/07/2027"),Calculator!G25)</f>
        <v>46599</v>
      </c>
      <c r="C5" s="5">
        <f>DATEDIF(A5,B5,"D")+1</f>
        <v>365</v>
      </c>
      <c r="D5" s="5">
        <f>IF(C5&gt;365,365,C5)</f>
        <v>365</v>
      </c>
      <c r="E5" s="42">
        <v>46235</v>
      </c>
      <c r="F5" s="42">
        <v>46599</v>
      </c>
    </row>
    <row r="6" spans="1:9" x14ac:dyDescent="0.25">
      <c r="A6" t="s">
        <v>52</v>
      </c>
      <c r="B6" t="s">
        <v>53</v>
      </c>
      <c r="C6" t="s">
        <v>54</v>
      </c>
      <c r="E6" t="s">
        <v>55</v>
      </c>
      <c r="F6" t="s">
        <v>56</v>
      </c>
    </row>
    <row r="7" spans="1:9" x14ac:dyDescent="0.25">
      <c r="A7" s="6" t="s">
        <v>36</v>
      </c>
      <c r="B7" s="6" t="s">
        <v>37</v>
      </c>
      <c r="C7" s="6" t="s">
        <v>57</v>
      </c>
      <c r="D7" s="6" t="s">
        <v>58</v>
      </c>
      <c r="E7" s="6" t="s">
        <v>38</v>
      </c>
      <c r="F7" s="6" t="s">
        <v>39</v>
      </c>
      <c r="G7" s="6" t="s">
        <v>59</v>
      </c>
      <c r="H7" s="6" t="s">
        <v>60</v>
      </c>
      <c r="I7" s="6" t="s">
        <v>61</v>
      </c>
    </row>
    <row r="8" spans="1:9" x14ac:dyDescent="0.25">
      <c r="A8" s="8">
        <v>46265</v>
      </c>
      <c r="B8" s="9">
        <f>A8</f>
        <v>46265</v>
      </c>
      <c r="C8" s="7">
        <f>WEEKDAY(B8,2)</f>
        <v>1</v>
      </c>
      <c r="D8" s="7">
        <f>HLOOKUP($C8,Calculator!$D$32:$J$34,3,FALSE)</f>
        <v>0</v>
      </c>
      <c r="E8" s="7" t="s">
        <v>62</v>
      </c>
      <c r="F8" s="7" t="s">
        <v>63</v>
      </c>
      <c r="G8" s="3" t="b">
        <f>AND(A8&gt;=$A$5,A8&lt;=$B$5)</f>
        <v>1</v>
      </c>
      <c r="H8" s="3" t="str">
        <f>IF(G8=TRUE,"1","0")</f>
        <v>1</v>
      </c>
      <c r="I8" s="3">
        <f>D8*H8</f>
        <v>0</v>
      </c>
    </row>
    <row r="9" spans="1:9" x14ac:dyDescent="0.25">
      <c r="A9" s="8">
        <v>46380</v>
      </c>
      <c r="B9" s="9">
        <f t="shared" ref="B9" si="1">A9</f>
        <v>46380</v>
      </c>
      <c r="C9" s="7">
        <f t="shared" ref="C9" si="2">WEEKDAY(B9,2)</f>
        <v>4</v>
      </c>
      <c r="D9" s="7">
        <f>HLOOKUP($C9,Calculator!$D$32:$J$34,3,FALSE)</f>
        <v>0</v>
      </c>
      <c r="E9" s="7" t="s">
        <v>64</v>
      </c>
      <c r="F9" s="7" t="s">
        <v>65</v>
      </c>
      <c r="G9" s="3" t="b">
        <f t="shared" ref="G9:G10" si="3">AND(A9&gt;=$A$5,A9&lt;=$B$5)</f>
        <v>1</v>
      </c>
      <c r="H9" s="3" t="str">
        <f t="shared" ref="H9:H10" si="4">IF(G9=TRUE,"1","0")</f>
        <v>1</v>
      </c>
      <c r="I9" s="3">
        <f t="shared" ref="I9:I10" si="5">D9*H9</f>
        <v>0</v>
      </c>
    </row>
    <row r="10" spans="1:9" x14ac:dyDescent="0.25">
      <c r="A10" s="8">
        <v>46381</v>
      </c>
      <c r="B10" s="9">
        <f t="shared" ref="B10" si="6">A10</f>
        <v>46381</v>
      </c>
      <c r="C10" s="7">
        <f t="shared" ref="C10" si="7">WEEKDAY(B10,2)</f>
        <v>5</v>
      </c>
      <c r="D10" s="7">
        <f>HLOOKUP($C10,Calculator!$D$32:$J$34,3,FALSE)</f>
        <v>0</v>
      </c>
      <c r="E10" s="7" t="s">
        <v>66</v>
      </c>
      <c r="F10" s="7" t="s">
        <v>63</v>
      </c>
      <c r="G10" s="3" t="b">
        <f t="shared" si="3"/>
        <v>1</v>
      </c>
      <c r="H10" s="3" t="str">
        <f t="shared" si="4"/>
        <v>1</v>
      </c>
      <c r="I10" s="3">
        <f t="shared" si="5"/>
        <v>0</v>
      </c>
    </row>
    <row r="11" spans="1:9" x14ac:dyDescent="0.25">
      <c r="A11" s="8">
        <v>46384</v>
      </c>
      <c r="B11" s="9">
        <f t="shared" ref="B11:B19" si="8">A11</f>
        <v>46384</v>
      </c>
      <c r="C11" s="7">
        <f t="shared" ref="C11:C19" si="9">WEEKDAY(B11,2)</f>
        <v>1</v>
      </c>
      <c r="D11" s="7">
        <f>HLOOKUP($C11,Calculator!$D$32:$J$34,3,FALSE)</f>
        <v>0</v>
      </c>
      <c r="E11" s="7" t="s">
        <v>67</v>
      </c>
      <c r="F11" s="7" t="s">
        <v>81</v>
      </c>
      <c r="G11" s="3" t="b">
        <f t="shared" ref="G11:G19" si="10">AND(A11&gt;=$A$5,A11&lt;=$B$5)</f>
        <v>1</v>
      </c>
      <c r="H11" s="3" t="str">
        <f t="shared" ref="H11:H19" si="11">IF(G11=TRUE,"1","0")</f>
        <v>1</v>
      </c>
      <c r="I11" s="3">
        <f t="shared" ref="I11:I19" si="12">D11*H11</f>
        <v>0</v>
      </c>
    </row>
    <row r="12" spans="1:9" x14ac:dyDescent="0.25">
      <c r="A12" s="8">
        <v>46385</v>
      </c>
      <c r="B12" s="9">
        <f t="shared" si="8"/>
        <v>46385</v>
      </c>
      <c r="C12" s="7">
        <f t="shared" si="9"/>
        <v>2</v>
      </c>
      <c r="D12" s="7">
        <f>HLOOKUP($C12,Calculator!$D$32:$J$34,3,FALSE)</f>
        <v>0</v>
      </c>
      <c r="E12" s="7" t="s">
        <v>68</v>
      </c>
      <c r="F12" s="7" t="s">
        <v>65</v>
      </c>
      <c r="G12" s="3" t="b">
        <f t="shared" si="10"/>
        <v>1</v>
      </c>
      <c r="H12" s="3" t="str">
        <f t="shared" si="11"/>
        <v>1</v>
      </c>
      <c r="I12" s="3">
        <f t="shared" si="12"/>
        <v>0</v>
      </c>
    </row>
    <row r="13" spans="1:9" x14ac:dyDescent="0.25">
      <c r="A13" s="8">
        <v>46386</v>
      </c>
      <c r="B13" s="9">
        <f t="shared" si="8"/>
        <v>46386</v>
      </c>
      <c r="C13" s="7">
        <f t="shared" si="9"/>
        <v>3</v>
      </c>
      <c r="D13" s="7">
        <f>HLOOKUP($C13,Calculator!$D$32:$J$34,3,FALSE)</f>
        <v>0</v>
      </c>
      <c r="E13" s="7" t="s">
        <v>68</v>
      </c>
      <c r="F13" s="7" t="s">
        <v>65</v>
      </c>
      <c r="G13" s="3" t="b">
        <f t="shared" si="10"/>
        <v>1</v>
      </c>
      <c r="H13" s="3" t="str">
        <f t="shared" si="11"/>
        <v>1</v>
      </c>
      <c r="I13" s="3">
        <f t="shared" si="12"/>
        <v>0</v>
      </c>
    </row>
    <row r="14" spans="1:9" x14ac:dyDescent="0.25">
      <c r="A14" s="8">
        <v>46387</v>
      </c>
      <c r="B14" s="9">
        <f t="shared" si="8"/>
        <v>46387</v>
      </c>
      <c r="C14" s="7">
        <f t="shared" si="9"/>
        <v>4</v>
      </c>
      <c r="D14" s="7">
        <f>HLOOKUP($C14,Calculator!$D$32:$J$34,3,FALSE)</f>
        <v>0</v>
      </c>
      <c r="E14" s="7" t="s">
        <v>68</v>
      </c>
      <c r="F14" s="7" t="s">
        <v>65</v>
      </c>
      <c r="G14" s="3" t="b">
        <f t="shared" si="10"/>
        <v>1</v>
      </c>
      <c r="H14" s="3" t="str">
        <f t="shared" si="11"/>
        <v>1</v>
      </c>
      <c r="I14" s="3">
        <f t="shared" si="12"/>
        <v>0</v>
      </c>
    </row>
    <row r="15" spans="1:9" x14ac:dyDescent="0.25">
      <c r="A15" s="8">
        <v>46388</v>
      </c>
      <c r="B15" s="9">
        <f t="shared" si="8"/>
        <v>46388</v>
      </c>
      <c r="C15" s="7">
        <f t="shared" si="9"/>
        <v>5</v>
      </c>
      <c r="D15" s="7">
        <f>HLOOKUP($C15,Calculator!$D$32:$J$34,3,FALSE)</f>
        <v>0</v>
      </c>
      <c r="E15" s="7" t="s">
        <v>69</v>
      </c>
      <c r="F15" s="7" t="s">
        <v>63</v>
      </c>
      <c r="G15" s="3" t="b">
        <f t="shared" si="10"/>
        <v>1</v>
      </c>
      <c r="H15" s="3" t="str">
        <f t="shared" si="11"/>
        <v>1</v>
      </c>
      <c r="I15" s="3">
        <f t="shared" si="12"/>
        <v>0</v>
      </c>
    </row>
    <row r="16" spans="1:9" x14ac:dyDescent="0.25">
      <c r="A16" s="8">
        <v>46472</v>
      </c>
      <c r="B16" s="9">
        <f t="shared" si="8"/>
        <v>46472</v>
      </c>
      <c r="C16" s="7">
        <f t="shared" si="9"/>
        <v>5</v>
      </c>
      <c r="D16" s="7">
        <f>HLOOKUP($C16,Calculator!$D$32:$J$34,3,FALSE)</f>
        <v>0</v>
      </c>
      <c r="E16" s="7" t="s">
        <v>70</v>
      </c>
      <c r="F16" s="7" t="s">
        <v>63</v>
      </c>
      <c r="G16" s="3" t="b">
        <f t="shared" si="10"/>
        <v>1</v>
      </c>
      <c r="H16" s="3" t="str">
        <f t="shared" si="11"/>
        <v>1</v>
      </c>
      <c r="I16" s="3">
        <f t="shared" si="12"/>
        <v>0</v>
      </c>
    </row>
    <row r="17" spans="1:9" x14ac:dyDescent="0.25">
      <c r="A17" s="8">
        <v>46475</v>
      </c>
      <c r="B17" s="9">
        <f t="shared" si="8"/>
        <v>46475</v>
      </c>
      <c r="C17" s="7">
        <f t="shared" si="9"/>
        <v>1</v>
      </c>
      <c r="D17" s="7">
        <f>HLOOKUP($C17,Calculator!$D$32:$J$34,3,FALSE)</f>
        <v>0</v>
      </c>
      <c r="E17" s="7" t="s">
        <v>71</v>
      </c>
      <c r="F17" s="7" t="s">
        <v>63</v>
      </c>
      <c r="G17" s="3" t="b">
        <f t="shared" si="10"/>
        <v>1</v>
      </c>
      <c r="H17" s="3" t="str">
        <f t="shared" si="11"/>
        <v>1</v>
      </c>
      <c r="I17" s="3">
        <f t="shared" si="12"/>
        <v>0</v>
      </c>
    </row>
    <row r="18" spans="1:9" x14ac:dyDescent="0.25">
      <c r="A18" s="8">
        <v>46510</v>
      </c>
      <c r="B18" s="9">
        <f t="shared" si="8"/>
        <v>46510</v>
      </c>
      <c r="C18" s="7">
        <f t="shared" si="9"/>
        <v>1</v>
      </c>
      <c r="D18" s="7">
        <f>HLOOKUP($C18,Calculator!$D$32:$J$34,3,FALSE)</f>
        <v>0</v>
      </c>
      <c r="E18" s="7" t="s">
        <v>72</v>
      </c>
      <c r="F18" s="7" t="s">
        <v>63</v>
      </c>
      <c r="G18" s="3" t="b">
        <f t="shared" si="10"/>
        <v>1</v>
      </c>
      <c r="H18" s="3" t="str">
        <f t="shared" si="11"/>
        <v>1</v>
      </c>
      <c r="I18" s="3">
        <f t="shared" si="12"/>
        <v>0</v>
      </c>
    </row>
    <row r="19" spans="1:9" x14ac:dyDescent="0.25">
      <c r="A19" s="8">
        <v>46538</v>
      </c>
      <c r="B19" s="9">
        <f t="shared" si="8"/>
        <v>46538</v>
      </c>
      <c r="C19" s="7">
        <f t="shared" si="9"/>
        <v>1</v>
      </c>
      <c r="D19" s="7">
        <f>HLOOKUP($C19,Calculator!$D$32:$J$34,3,FALSE)</f>
        <v>0</v>
      </c>
      <c r="E19" s="7" t="s">
        <v>73</v>
      </c>
      <c r="F19" s="7" t="s">
        <v>63</v>
      </c>
      <c r="G19" s="3" t="b">
        <f t="shared" si="10"/>
        <v>1</v>
      </c>
      <c r="H19" s="3" t="str">
        <f t="shared" si="11"/>
        <v>1</v>
      </c>
      <c r="I19" s="3">
        <f t="shared" si="12"/>
        <v>0</v>
      </c>
    </row>
    <row r="20" spans="1:9" x14ac:dyDescent="0.25">
      <c r="C20" t="s">
        <v>74</v>
      </c>
      <c r="D20" t="s">
        <v>75</v>
      </c>
      <c r="G20" t="s">
        <v>76</v>
      </c>
      <c r="H20" t="s">
        <v>77</v>
      </c>
      <c r="I20" t="s">
        <v>78</v>
      </c>
    </row>
  </sheetData>
  <sheetProtection algorithmName="SHA-512" hashValue="VgIIFpn6dhGeNcis6AqGepkJG+04zzPbUrXNfmz0xpt20NBugAG88x4WCbnB4JBZyLoEc5ASBBBp/v5IVd4uYg==" saltValue="giefwvJnKHFR4Sr/ptr0XA==" spinCount="100000" sheet="1" objects="1" scenarios="1"/>
  <pageMargins left="0.7" right="0.7" top="0.75" bottom="0.75" header="0.3" footer="0.3"/>
  <pageSetup paperSize="9" orientation="portrait" r:id="rId1"/>
  <ignoredErrors>
    <ignoredError sqref="B11:D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Ramsden, Carly J</cp:lastModifiedBy>
  <cp:revision/>
  <dcterms:created xsi:type="dcterms:W3CDTF">2015-05-29T12:02:28Z</dcterms:created>
  <dcterms:modified xsi:type="dcterms:W3CDTF">2026-05-08T13:36:15Z</dcterms:modified>
  <cp:category/>
  <cp:contentStatus/>
</cp:coreProperties>
</file>