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8BFD2EEB-721C-454A-A6BE-867840F72198}" xr6:coauthVersionLast="47" xr6:coauthVersionMax="47" xr10:uidLastSave="{00000000-0000-0000-0000-000000000000}"/>
  <workbookProtection workbookAlgorithmName="SHA-512" workbookHashValue="hD06se6au7cVHLgRnGqhd0W7nQj54F2TemVaXCLuR2meahsLVgtb7ie7C6UETGdoqzZPMUf1Nwiwd0eDZt+jOw==" workbookSaltValue="CZZH5wIWc5s197zyShMHCg==" workbookSpinCount="100000" lockStructure="1"/>
  <bookViews>
    <workbookView xWindow="-120" yWindow="-120" windowWidth="29040" windowHeight="15720" xr2:uid="{00000000-000D-0000-FFFF-FFFF00000000}"/>
  </bookViews>
  <sheets>
    <sheet name="Calculator" sheetId="1" r:id="rId1"/>
    <sheet name="Data" sheetId="2" state="hidden" r:id="rId2"/>
  </sheets>
  <definedNames>
    <definedName name="Grade">Data!$A$2:$A$2</definedName>
    <definedName name="Grades">Data!$A$2:$A$2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57" i="1"/>
  <c r="G58" i="1"/>
  <c r="G59" i="1"/>
  <c r="G60" i="1"/>
  <c r="G61" i="1"/>
  <c r="F56" i="1"/>
  <c r="F57" i="1"/>
  <c r="F58" i="1"/>
  <c r="F59" i="1"/>
  <c r="F60" i="1"/>
  <c r="F61" i="1"/>
  <c r="F62" i="1"/>
  <c r="E56" i="1"/>
  <c r="E57" i="1"/>
  <c r="E58" i="1"/>
  <c r="D56" i="1"/>
  <c r="D57" i="1"/>
  <c r="D58" i="1"/>
  <c r="D59" i="1"/>
  <c r="D60" i="1"/>
  <c r="D9" i="2"/>
  <c r="C9" i="2"/>
  <c r="B9" i="2"/>
  <c r="B10" i="2" l="1"/>
  <c r="C10" i="2" s="1"/>
  <c r="D10" i="2" s="1"/>
  <c r="H24" i="1" l="1"/>
  <c r="B5" i="2"/>
  <c r="A5" i="2"/>
  <c r="I56" i="1" l="1"/>
  <c r="I57" i="1"/>
  <c r="I58" i="1"/>
  <c r="I59" i="1"/>
  <c r="I60" i="1"/>
  <c r="G11" i="2"/>
  <c r="H11" i="2" s="1"/>
  <c r="G9" i="2"/>
  <c r="H9" i="2" s="1"/>
  <c r="I9" i="2" s="1"/>
  <c r="H56" i="1" s="1"/>
  <c r="G10" i="2"/>
  <c r="H10" i="2" s="1"/>
  <c r="I10" i="2" s="1"/>
  <c r="H57" i="1" s="1"/>
  <c r="G8" i="2"/>
  <c r="H41" i="1"/>
  <c r="F18" i="1"/>
  <c r="K34" i="1"/>
  <c r="D10" i="1"/>
  <c r="C5" i="2"/>
  <c r="D5" i="2" s="1"/>
  <c r="H40" i="1" s="1"/>
  <c r="H8" i="2" l="1"/>
  <c r="B8" i="2" l="1"/>
  <c r="C8" i="2" s="1"/>
  <c r="D8" i="2" s="1"/>
  <c r="I8" i="2" s="1"/>
  <c r="B11" i="2" l="1"/>
  <c r="C11" i="2" s="1"/>
  <c r="D11" i="2" s="1"/>
  <c r="I11" i="2" s="1"/>
  <c r="H58" i="1" s="1"/>
  <c r="D67" i="1"/>
  <c r="G63" i="1" l="1"/>
  <c r="G64" i="1"/>
  <c r="G65" i="1"/>
  <c r="G66" i="1"/>
  <c r="G67" i="1"/>
  <c r="F63" i="1"/>
  <c r="F64" i="1"/>
  <c r="F65" i="1"/>
  <c r="F66" i="1"/>
  <c r="F67" i="1"/>
  <c r="D63" i="1"/>
  <c r="D64" i="1"/>
  <c r="D65" i="1"/>
  <c r="D66" i="1"/>
  <c r="D35" i="1"/>
  <c r="B17" i="2"/>
  <c r="C17" i="2" s="1"/>
  <c r="D17" i="2" s="1"/>
  <c r="B16" i="2"/>
  <c r="E63" i="1" s="1"/>
  <c r="E64" i="1" l="1"/>
  <c r="C16" i="2"/>
  <c r="D16" i="2" s="1"/>
  <c r="I63" i="1"/>
  <c r="I64" i="1" l="1"/>
  <c r="I65" i="1"/>
  <c r="I66" i="1"/>
  <c r="I67" i="1"/>
  <c r="G16" i="2"/>
  <c r="H16" i="2" s="1"/>
  <c r="I16" i="2" s="1"/>
  <c r="H63" i="1" s="1"/>
  <c r="G17" i="2"/>
  <c r="H17" i="2" s="1"/>
  <c r="I17" i="2" s="1"/>
  <c r="H64" i="1" s="1"/>
  <c r="B19" i="2"/>
  <c r="E66" i="1" s="1"/>
  <c r="B18" i="2"/>
  <c r="E65" i="1" s="1"/>
  <c r="C18" i="2" l="1"/>
  <c r="D18" i="2" s="1"/>
  <c r="C19" i="2"/>
  <c r="D19" i="2" s="1"/>
  <c r="F10" i="1"/>
  <c r="F2" i="2" l="1"/>
  <c r="F11" i="1" l="1"/>
  <c r="G18" i="2" l="1"/>
  <c r="H18" i="2" s="1"/>
  <c r="G19" i="2"/>
  <c r="H19" i="2" s="1"/>
  <c r="G62" i="1"/>
  <c r="D62" i="1"/>
  <c r="I19" i="2" l="1"/>
  <c r="H66" i="1" s="1"/>
  <c r="I18" i="2"/>
  <c r="H65" i="1" s="1"/>
  <c r="H42" i="1"/>
  <c r="B15" i="2"/>
  <c r="E62" i="1" s="1"/>
  <c r="C15" i="2" l="1"/>
  <c r="D15" i="2" s="1"/>
  <c r="F55" i="1"/>
  <c r="I62" i="1"/>
  <c r="G15" i="2" l="1"/>
  <c r="H15" i="2" s="1"/>
  <c r="I15" i="2" s="1"/>
  <c r="H62" i="1" s="1"/>
  <c r="D61" i="1"/>
  <c r="E25" i="1"/>
  <c r="H25" i="1" s="1"/>
  <c r="B13" i="2"/>
  <c r="E60" i="1" s="1"/>
  <c r="B14" i="2"/>
  <c r="E61" i="1" s="1"/>
  <c r="B20" i="2"/>
  <c r="E67" i="1" s="1"/>
  <c r="D2" i="2"/>
  <c r="D55" i="1"/>
  <c r="E55" i="1"/>
  <c r="B12" i="2"/>
  <c r="E59" i="1" s="1"/>
  <c r="G26" i="1"/>
  <c r="E24" i="1"/>
  <c r="E35" i="1"/>
  <c r="F35" i="1"/>
  <c r="G35" i="1"/>
  <c r="H35" i="1"/>
  <c r="I35" i="1"/>
  <c r="J35" i="1"/>
  <c r="G55" i="1"/>
  <c r="F17" i="1" l="1"/>
  <c r="H10" i="1"/>
  <c r="C20" i="2"/>
  <c r="D20" i="2" s="1"/>
  <c r="C12" i="2"/>
  <c r="D12" i="2" s="1"/>
  <c r="C14" i="2"/>
  <c r="D14" i="2" s="1"/>
  <c r="C13" i="2"/>
  <c r="D13" i="2" s="1"/>
  <c r="G12" i="2"/>
  <c r="H12" i="2" s="1"/>
  <c r="G14" i="2"/>
  <c r="H14" i="2" s="1"/>
  <c r="G20" i="2"/>
  <c r="H20" i="2" s="1"/>
  <c r="I55" i="1"/>
  <c r="G13" i="2"/>
  <c r="H13" i="2" s="1"/>
  <c r="I61" i="1"/>
  <c r="I20" i="2" l="1"/>
  <c r="H67" i="1" s="1"/>
  <c r="H44" i="1"/>
  <c r="H48" i="1" s="1"/>
  <c r="I12" i="2"/>
  <c r="H59" i="1" s="1"/>
  <c r="H55" i="1"/>
  <c r="I14" i="2"/>
  <c r="H61" i="1" s="1"/>
  <c r="I13" i="2"/>
  <c r="H60" i="1" s="1"/>
  <c r="H69" i="1" l="1"/>
  <c r="H45" i="1" s="1"/>
  <c r="H49" i="1" l="1"/>
  <c r="H46" i="1"/>
</calcChain>
</file>

<file path=xl/sharedStrings.xml><?xml version="1.0" encoding="utf-8"?>
<sst xmlns="http://schemas.openxmlformats.org/spreadsheetml/2006/main" count="102" uniqueCount="81">
  <si>
    <t>Please complete the grey boxes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</si>
  <si>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</si>
  <si>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</si>
  <si>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</si>
  <si>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</si>
  <si>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</si>
  <si>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</si>
  <si>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</si>
  <si>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</si>
  <si>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</si>
  <si>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</si>
  <si>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</si>
  <si>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</si>
  <si>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</si>
  <si>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</si>
  <si>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</si>
  <si>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</si>
  <si>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</si>
  <si>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</si>
  <si>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</si>
  <si>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</si>
  <si>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</si>
  <si>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</si>
  <si>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</si>
  <si>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</si>
  <si>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</si>
  <si>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</si>
  <si>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</si>
  <si>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</si>
  <si>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</si>
  <si>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</si>
  <si>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</si>
  <si>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</si>
  <si>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</si>
  <si>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</si>
  <si>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</si>
  <si>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</si>
  <si>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</si>
  <si>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</si>
  <si>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</si>
  <si>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</si>
  <si>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</si>
  <si>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</si>
  <si>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</si>
  <si>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All UoE Grades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</si>
  <si>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</si>
  <si>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</si>
  <si>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</si>
  <si>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</si>
  <si>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</si>
  <si>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</si>
  <si>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</si>
  <si>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</si>
  <si>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</si>
  <si>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</si>
  <si>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</si>
  <si>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</si>
  <si>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</si>
  <si>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</si>
  <si>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</si>
  <si>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</si>
  <si>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</si>
  <si>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</si>
  <si>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</si>
  <si>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</si>
  <si>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</si>
  <si>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^ This will show start of leave year by default, or staff member's start date if it's after the start of the leave year</t>
  </si>
  <si>
    <t>^ Baseline allowance</t>
  </si>
  <si>
    <t>^ Baseline A/L plus BH &amp; closure days</t>
  </si>
  <si>
    <t>^ This will show end of leave year by default, or staff member's end date if it's before the end of the leave year</t>
  </si>
  <si>
    <t>^ Days between staff member's start date (A5) and end date (B5)</t>
  </si>
  <si>
    <t>^ Leave year start date</t>
  </si>
  <si>
    <t>^ Leave year end date</t>
  </si>
  <si>
    <t>^ Day of the week where Monday = 1, Tuesday = 2 etc</t>
  </si>
  <si>
    <t>^ This is pulled from what the staff member inputs as their hours worked each day on the Calculator sheet</t>
  </si>
  <si>
    <t>^ Shows 'TRUE' if this date falls between the staff member's start and end dates (see row 5)</t>
  </si>
  <si>
    <t>^ If the Employed column shows 'TRUE' there will be a 1 in this column</t>
  </si>
  <si>
    <t>^ This is the staff member's usual working hours on the date in question, therefore how much leave they are due for that BH/closure</t>
  </si>
  <si>
    <t>ANNUAL LEAVE CALCULATOR 2024/25</t>
  </si>
  <si>
    <t>Bank holiday and closure days 2024/25:</t>
  </si>
  <si>
    <t>Christmas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</si>
</sst>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3" borderId="10" applyNumberFormat="0" applyFont="0" applyAlignment="0" applyProtection="0"/>
  </cellStyleXfs>
  <cellXfs count="87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3" borderId="10" xfId="1" applyFont="1"/>
    <xf numFmtId="15" fontId="0" fillId="3" borderId="10" xfId="1" applyNumberFormat="1" applyFont="1"/>
    <xf numFmtId="1" fontId="0" fillId="3" borderId="10" xfId="1" applyNumberFormat="1" applyFont="1"/>
    <xf numFmtId="0" fontId="2" fillId="3" borderId="10" xfId="1" applyFont="1" applyProtection="1">
      <protection locked="0"/>
    </xf>
    <xf numFmtId="0" fontId="0" fillId="3" borderId="10" xfId="1" applyFont="1" applyProtection="1">
      <protection locked="0"/>
    </xf>
    <xf numFmtId="15" fontId="0" fillId="3" borderId="10" xfId="1" applyNumberFormat="1" applyFont="1" applyAlignment="1" applyProtection="1">
      <alignment horizontal="left"/>
      <protection locked="0"/>
    </xf>
    <xf numFmtId="164" fontId="0" fillId="3" borderId="10" xfId="1" applyNumberFormat="1" applyFont="1" applyProtection="1">
      <protection locked="0"/>
    </xf>
    <xf numFmtId="0" fontId="2" fillId="3" borderId="10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5" fontId="9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Alignment="1" applyProtection="1"/>
    <xf numFmtId="15" fontId="8" fillId="3" borderId="10" xfId="1" applyNumberFormat="1" applyFont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/>
    </xf>
    <xf numFmtId="0" fontId="6" fillId="6" borderId="12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0" xfId="0" applyFont="1" applyFill="1" applyBorder="1" applyProtection="1"/>
    <xf numFmtId="0" fontId="15" fillId="0" borderId="0" xfId="0" applyFont="1" applyProtection="1"/>
    <xf numFmtId="0" fontId="6" fillId="7" borderId="0" xfId="0" applyFont="1" applyFill="1" applyBorder="1" applyProtection="1"/>
    <xf numFmtId="0" fontId="1" fillId="7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8</xdr:row>
      <xdr:rowOff>95250</xdr:rowOff>
    </xdr:from>
    <xdr:to>
      <xdr:col>10</xdr:col>
      <xdr:colOff>1106033</xdr:colOff>
      <xdr:row>22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8</xdr:row>
      <xdr:rowOff>140834</xdr:rowOff>
    </xdr:from>
    <xdr:to>
      <xdr:col>10</xdr:col>
      <xdr:colOff>1021896</xdr:colOff>
      <xdr:row>10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11</xdr:row>
      <xdr:rowOff>28121</xdr:rowOff>
    </xdr:from>
    <xdr:to>
      <xdr:col>10</xdr:col>
      <xdr:colOff>956810</xdr:colOff>
      <xdr:row>22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571651</xdr:colOff>
      <xdr:row>2</xdr:row>
      <xdr:rowOff>28575</xdr:rowOff>
    </xdr:from>
    <xdr:to>
      <xdr:col>11</xdr:col>
      <xdr:colOff>57150</xdr:colOff>
      <xdr:row>5</xdr:row>
      <xdr:rowOff>55388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276" y="361950"/>
          <a:ext cx="1695299" cy="61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2"/>
  <sheetViews>
    <sheetView showGridLines="0" showRowColHeaders="0" tabSelected="1" zoomScaleNormal="100" workbookViewId="0">
      <selection activeCell="H34" sqref="D34:H34"/>
    </sheetView>
  </sheetViews>
  <sheetFormatPr defaultColWidth="9.140625" defaultRowHeight="15" x14ac:dyDescent="0.25"/>
  <cols>
    <col min="1" max="1" width="1.7109375" style="13" customWidth="1"/>
    <col min="2" max="3" width="3.85546875" style="13" customWidth="1"/>
    <col min="4" max="4" width="23.140625" style="13" customWidth="1"/>
    <col min="5" max="5" width="23.42578125" style="13" customWidth="1"/>
    <col min="6" max="6" width="24.85546875" style="13" customWidth="1"/>
    <col min="7" max="8" width="22" style="13" customWidth="1"/>
    <col min="9" max="9" width="15.85546875" style="13" customWidth="1"/>
    <col min="10" max="10" width="15" style="13" customWidth="1"/>
    <col min="11" max="11" width="18.140625" style="13" customWidth="1"/>
    <col min="12" max="12" width="7.42578125" style="13" customWidth="1"/>
    <col min="13" max="16384" width="9.140625" style="13"/>
  </cols>
  <sheetData>
    <row r="1" spans="1:22" ht="10.5" customHeight="1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.75" thickTop="1" x14ac:dyDescent="0.25">
      <c r="A2" s="15"/>
      <c r="B2" s="55"/>
      <c r="C2" s="56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25" x14ac:dyDescent="0.35">
      <c r="B3" s="57"/>
      <c r="C3" s="40"/>
      <c r="E3" s="18"/>
      <c r="G3" s="50" t="s">
        <v>78</v>
      </c>
      <c r="H3" s="18"/>
      <c r="I3" s="18"/>
      <c r="J3" s="18"/>
      <c r="K3" s="18"/>
      <c r="L3" s="15"/>
      <c r="N3" s="18"/>
      <c r="O3" s="18"/>
      <c r="P3" s="18"/>
      <c r="Q3" s="50"/>
      <c r="R3" s="18"/>
      <c r="S3" s="18"/>
      <c r="T3" s="18"/>
    </row>
    <row r="4" spans="1:22" x14ac:dyDescent="0.25">
      <c r="B4" s="57"/>
      <c r="C4" s="40"/>
      <c r="D4" s="18"/>
      <c r="E4" s="18"/>
      <c r="G4" s="80" t="s">
        <v>0</v>
      </c>
      <c r="H4" s="18"/>
      <c r="I4" s="18"/>
      <c r="J4" s="18"/>
      <c r="K4" s="18"/>
      <c r="L4" s="15"/>
      <c r="N4" s="18"/>
      <c r="O4" s="18"/>
      <c r="P4" s="18"/>
      <c r="Q4" s="18"/>
      <c r="R4" s="18"/>
      <c r="S4" s="18"/>
      <c r="T4" s="18"/>
    </row>
    <row r="5" spans="1:22" ht="8.25" customHeight="1" x14ac:dyDescent="0.25">
      <c r="B5" s="57"/>
      <c r="C5" s="40"/>
      <c r="D5" s="18"/>
      <c r="E5" s="18"/>
      <c r="F5" s="18"/>
      <c r="G5" s="18"/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25">
      <c r="B6" s="57"/>
      <c r="C6" s="40"/>
      <c r="D6" s="48" t="s">
        <v>1</v>
      </c>
      <c r="E6" s="48"/>
      <c r="F6" s="48"/>
      <c r="G6" s="48"/>
      <c r="H6" s="48"/>
      <c r="I6" s="48"/>
      <c r="J6" s="52"/>
      <c r="L6" s="15"/>
      <c r="N6" s="18"/>
      <c r="O6" s="18"/>
      <c r="P6" s="18"/>
      <c r="Q6" s="18"/>
      <c r="R6" s="18"/>
      <c r="S6" s="18"/>
      <c r="T6" s="18"/>
    </row>
    <row r="7" spans="1:22" ht="9" customHeight="1" x14ac:dyDescent="0.25">
      <c r="B7" s="57"/>
      <c r="C7" s="40"/>
      <c r="E7" s="48"/>
      <c r="F7" s="48"/>
      <c r="G7" s="48"/>
      <c r="H7" s="48"/>
      <c r="I7" s="48"/>
      <c r="J7" s="52"/>
      <c r="L7" s="15"/>
      <c r="N7" s="20"/>
      <c r="O7" s="42"/>
      <c r="P7" s="42"/>
      <c r="Q7" s="42"/>
      <c r="R7" s="42"/>
      <c r="S7" s="42"/>
      <c r="T7" s="42"/>
    </row>
    <row r="8" spans="1:22" ht="7.5" customHeight="1" x14ac:dyDescent="0.25">
      <c r="B8" s="57"/>
      <c r="C8" s="40"/>
      <c r="E8" s="18"/>
      <c r="F8" s="18"/>
      <c r="G8" s="18"/>
      <c r="H8" s="18"/>
      <c r="I8" s="18"/>
      <c r="L8" s="15"/>
      <c r="N8" s="23"/>
      <c r="O8" s="64"/>
      <c r="P8" s="66"/>
      <c r="Q8" s="67"/>
      <c r="R8" s="67"/>
      <c r="S8" s="67"/>
      <c r="T8" s="68"/>
    </row>
    <row r="9" spans="1:22" s="19" customFormat="1" x14ac:dyDescent="0.25">
      <c r="B9" s="58"/>
      <c r="C9" s="59"/>
      <c r="D9" s="20" t="s">
        <v>2</v>
      </c>
      <c r="E9" s="20"/>
      <c r="F9" s="20" t="s">
        <v>3</v>
      </c>
      <c r="G9" s="20"/>
      <c r="H9" s="20" t="s">
        <v>4</v>
      </c>
      <c r="I9" s="20"/>
      <c r="J9" s="13"/>
      <c r="K9" s="13"/>
      <c r="L9" s="21"/>
      <c r="N9" s="18"/>
      <c r="O9" s="64"/>
      <c r="P9" s="67"/>
      <c r="Q9" s="66"/>
      <c r="R9" s="67"/>
      <c r="S9" s="67"/>
      <c r="T9" s="28"/>
      <c r="V9" s="13"/>
    </row>
    <row r="10" spans="1:22" s="22" customFormat="1" x14ac:dyDescent="0.25">
      <c r="B10" s="60"/>
      <c r="C10" s="61"/>
      <c r="D10" s="2" t="str">
        <f>Data!B2&amp;" days/"&amp;Data!B2*7.2&amp;" hrs"</f>
        <v>28 days/201.6 hrs</v>
      </c>
      <c r="E10" s="23"/>
      <c r="F10" s="2" t="str">
        <f>Data!C2 &amp;" days/" &amp;Data!C2*7.2&amp;" hrs"</f>
        <v>13 days/93.6 hrs</v>
      </c>
      <c r="G10" s="23"/>
      <c r="H10" s="2" t="str">
        <f>Data!D2&amp;" days/"&amp;Data!D2*7.2&amp;" hrs"</f>
        <v>41 days/295.2 hrs</v>
      </c>
      <c r="I10" s="23"/>
      <c r="J10" s="23"/>
      <c r="K10" s="23"/>
      <c r="L10" s="24"/>
      <c r="N10" s="18"/>
      <c r="O10" s="65"/>
      <c r="P10" s="69"/>
      <c r="Q10" s="67"/>
      <c r="R10" s="66"/>
      <c r="S10" s="66"/>
      <c r="T10" s="28"/>
      <c r="V10" s="13"/>
    </row>
    <row r="11" spans="1:22" x14ac:dyDescent="0.25">
      <c r="B11" s="57"/>
      <c r="C11" s="40"/>
      <c r="E11" s="40"/>
      <c r="F11" s="26">
        <f>Data!B2*7.2</f>
        <v>201.6</v>
      </c>
      <c r="G11" s="18"/>
      <c r="H11" s="18"/>
      <c r="I11" s="18"/>
      <c r="J11" s="18"/>
      <c r="K11" s="18"/>
      <c r="L11" s="15"/>
      <c r="N11" s="18"/>
      <c r="O11" s="28"/>
      <c r="P11" s="28"/>
      <c r="Q11" s="28"/>
      <c r="R11" s="28"/>
      <c r="S11" s="28"/>
      <c r="T11" s="28"/>
    </row>
    <row r="12" spans="1:22" x14ac:dyDescent="0.25">
      <c r="B12" s="57"/>
      <c r="C12" s="40"/>
      <c r="D12" s="81" t="s">
        <v>5</v>
      </c>
      <c r="E12" s="40"/>
      <c r="F12" s="26"/>
      <c r="G12" s="18"/>
      <c r="H12" s="18"/>
      <c r="I12" s="18"/>
      <c r="J12" s="18"/>
      <c r="K12" s="18"/>
      <c r="L12" s="15"/>
      <c r="N12" s="18"/>
      <c r="O12" s="18"/>
      <c r="P12" s="18"/>
      <c r="Q12" s="18"/>
      <c r="R12" s="18"/>
      <c r="S12" s="18"/>
      <c r="T12" s="18"/>
    </row>
    <row r="13" spans="1:22" x14ac:dyDescent="0.25">
      <c r="B13" s="57"/>
      <c r="C13" s="40"/>
      <c r="D13" s="48"/>
      <c r="E13" s="40"/>
      <c r="F13" s="26"/>
      <c r="G13" s="18"/>
      <c r="H13" s="18"/>
      <c r="I13" s="18"/>
      <c r="J13" s="18"/>
      <c r="K13" s="18"/>
      <c r="L13" s="15"/>
      <c r="N13" s="18"/>
      <c r="O13" s="18"/>
      <c r="P13" s="18"/>
      <c r="Q13" s="18"/>
      <c r="R13" s="18"/>
      <c r="S13" s="18"/>
      <c r="T13" s="18"/>
    </row>
    <row r="14" spans="1:22" x14ac:dyDescent="0.25">
      <c r="B14" s="57"/>
      <c r="C14" s="40"/>
      <c r="D14" s="47" t="s">
        <v>6</v>
      </c>
      <c r="E14" s="40"/>
      <c r="F14" s="26"/>
      <c r="G14" s="18"/>
      <c r="H14" s="18"/>
      <c r="I14" s="18"/>
      <c r="J14" s="18"/>
      <c r="K14" s="18"/>
      <c r="L14" s="15"/>
      <c r="N14" s="18"/>
      <c r="O14" s="18"/>
      <c r="P14" s="18"/>
      <c r="Q14" s="18"/>
      <c r="R14" s="18"/>
      <c r="S14" s="18"/>
      <c r="T14" s="18"/>
    </row>
    <row r="15" spans="1:22" x14ac:dyDescent="0.25">
      <c r="B15" s="57"/>
      <c r="C15" s="49"/>
      <c r="D15" s="18" t="s">
        <v>64</v>
      </c>
      <c r="E15" s="18"/>
      <c r="F15" s="18"/>
      <c r="G15" s="18"/>
      <c r="H15" s="45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25">
      <c r="B16" s="57"/>
      <c r="C16" s="40"/>
      <c r="D16" s="18"/>
      <c r="E16" s="18"/>
      <c r="F16" s="18"/>
      <c r="G16" s="18"/>
      <c r="H16" s="26"/>
      <c r="I16" s="18"/>
      <c r="J16" s="18"/>
      <c r="L16" s="15"/>
      <c r="N16" s="18"/>
      <c r="O16" s="86"/>
      <c r="P16" s="86"/>
      <c r="Q16" s="86"/>
      <c r="R16" s="86"/>
      <c r="S16" s="86"/>
      <c r="T16" s="18"/>
    </row>
    <row r="17" spans="2:20" ht="15" customHeight="1" x14ac:dyDescent="0.25">
      <c r="B17" s="57"/>
      <c r="C17" s="40"/>
      <c r="E17" s="39" t="s">
        <v>7</v>
      </c>
      <c r="F17" s="2">
        <f>(Data!D2*7.2)+H15</f>
        <v>295.2</v>
      </c>
      <c r="G17" s="18"/>
      <c r="H17" s="18"/>
      <c r="I17" s="18"/>
      <c r="J17" s="18"/>
      <c r="K17" s="18"/>
      <c r="L17" s="15"/>
      <c r="N17" s="18"/>
      <c r="O17" s="86"/>
      <c r="P17" s="86"/>
      <c r="Q17" s="86"/>
      <c r="R17" s="86"/>
      <c r="S17" s="86"/>
      <c r="T17" s="18"/>
    </row>
    <row r="18" spans="2:20" x14ac:dyDescent="0.25">
      <c r="B18" s="57"/>
      <c r="C18" s="40"/>
      <c r="D18" s="18"/>
      <c r="E18" s="18"/>
      <c r="F18" s="85">
        <f>(Data!B2*7.2)+H15</f>
        <v>201.6</v>
      </c>
      <c r="G18" s="18"/>
      <c r="H18" s="18"/>
      <c r="I18" s="18"/>
      <c r="J18" s="18"/>
      <c r="K18" s="18"/>
      <c r="L18" s="15"/>
      <c r="N18" s="18"/>
      <c r="O18" s="86"/>
      <c r="P18" s="86"/>
      <c r="Q18" s="86"/>
      <c r="R18" s="86"/>
      <c r="S18" s="86"/>
      <c r="T18" s="18"/>
    </row>
    <row r="19" spans="2:20" x14ac:dyDescent="0.25">
      <c r="B19" s="57"/>
      <c r="C19" s="40"/>
      <c r="D19" s="80" t="s">
        <v>8</v>
      </c>
      <c r="E19" s="18"/>
      <c r="F19" s="26"/>
      <c r="G19" s="18"/>
      <c r="H19" s="18"/>
      <c r="I19" s="18"/>
      <c r="J19" s="18"/>
      <c r="K19" s="18"/>
      <c r="L19" s="15"/>
      <c r="N19" s="18"/>
      <c r="O19" s="18"/>
      <c r="P19" s="18"/>
      <c r="Q19" s="18"/>
      <c r="R19" s="18"/>
      <c r="S19" s="18"/>
      <c r="T19" s="18"/>
    </row>
    <row r="20" spans="2:20" x14ac:dyDescent="0.25">
      <c r="B20" s="57"/>
      <c r="C20" s="40"/>
      <c r="D20" s="18"/>
      <c r="E20" s="18"/>
      <c r="F20" s="26"/>
      <c r="G20" s="18"/>
      <c r="H20" s="18"/>
      <c r="K20" s="18"/>
      <c r="L20" s="15"/>
      <c r="N20" s="18"/>
      <c r="O20" s="18"/>
      <c r="P20" s="18"/>
      <c r="Q20" s="18"/>
      <c r="R20" s="18"/>
      <c r="S20" s="18"/>
      <c r="T20" s="18"/>
    </row>
    <row r="21" spans="2:20" x14ac:dyDescent="0.25">
      <c r="B21" s="57"/>
      <c r="C21" s="40"/>
      <c r="D21" s="47" t="s">
        <v>9</v>
      </c>
      <c r="E21" s="18"/>
      <c r="F21" s="26"/>
      <c r="G21" s="18"/>
      <c r="H21" s="18"/>
      <c r="I21" s="18"/>
      <c r="J21" s="18"/>
      <c r="K21" s="18"/>
      <c r="L21" s="15"/>
      <c r="N21" s="18"/>
      <c r="O21" s="18"/>
      <c r="P21" s="18"/>
      <c r="Q21" s="18"/>
      <c r="R21" s="18"/>
      <c r="S21" s="18"/>
      <c r="T21" s="18"/>
    </row>
    <row r="22" spans="2:20" x14ac:dyDescent="0.25">
      <c r="B22" s="57"/>
      <c r="C22" s="49"/>
      <c r="D22" s="18" t="s">
        <v>10</v>
      </c>
      <c r="E22" s="18"/>
      <c r="F22" s="18"/>
      <c r="G22" s="18"/>
      <c r="H22" s="18"/>
      <c r="I22" s="18"/>
      <c r="J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ht="15.75" customHeight="1" x14ac:dyDescent="0.25">
      <c r="B23" s="57"/>
      <c r="C23" s="40"/>
      <c r="D23" s="18"/>
      <c r="E23" s="18"/>
      <c r="F23" s="18"/>
      <c r="G23" s="18"/>
      <c r="H23" s="18"/>
      <c r="I23" s="18"/>
      <c r="J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ht="15" customHeight="1" x14ac:dyDescent="0.25">
      <c r="B24" s="57"/>
      <c r="C24" s="40"/>
      <c r="D24" s="18" t="s">
        <v>11</v>
      </c>
      <c r="E24" s="54">
        <f>Data!E5</f>
        <v>45505</v>
      </c>
      <c r="F24" s="18" t="s">
        <v>12</v>
      </c>
      <c r="G24" s="44"/>
      <c r="H24" s="82" t="str">
        <f>IF(ISBLANK(G24),"",IF(G24&gt;=E24," ","The date entered must be equal to or after 01/08/2024"))</f>
        <v/>
      </c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x14ac:dyDescent="0.25">
      <c r="B25" s="57"/>
      <c r="C25" s="40"/>
      <c r="D25" s="18" t="s">
        <v>13</v>
      </c>
      <c r="E25" s="54">
        <f>Data!F5</f>
        <v>45869</v>
      </c>
      <c r="F25" s="18" t="s">
        <v>14</v>
      </c>
      <c r="G25" s="44"/>
      <c r="H25" s="82" t="str">
        <f>IF(G25&lt;=E25," ","The date entered must be equal to or before 31/07/2025")</f>
        <v xml:space="preserve"> </v>
      </c>
      <c r="I25" s="18"/>
      <c r="J25" s="18"/>
      <c r="K25" s="18"/>
      <c r="L25" s="15"/>
      <c r="N25" s="18"/>
      <c r="O25" s="28"/>
      <c r="P25" s="18"/>
      <c r="Q25" s="18"/>
      <c r="R25" s="18"/>
      <c r="S25" s="18"/>
      <c r="T25" s="18"/>
    </row>
    <row r="26" spans="2:20" ht="15" customHeight="1" x14ac:dyDescent="0.25">
      <c r="B26" s="57"/>
      <c r="C26" s="40"/>
      <c r="D26" s="18"/>
      <c r="E26" s="18"/>
      <c r="F26" s="18"/>
      <c r="G26" s="83" t="str">
        <f>IF(G25="","",IF(G25&lt;G24,"End date must be later than start date",""))</f>
        <v/>
      </c>
      <c r="H26" s="18"/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ht="15" customHeight="1" x14ac:dyDescent="0.25">
      <c r="B27" s="57"/>
      <c r="C27" s="40"/>
      <c r="D27" s="47" t="s">
        <v>15</v>
      </c>
      <c r="E27" s="18"/>
      <c r="F27" s="18"/>
      <c r="H27" s="18"/>
      <c r="I27" s="28"/>
      <c r="J27" s="18"/>
      <c r="K27" s="18"/>
      <c r="L27" s="15"/>
    </row>
    <row r="28" spans="2:20" x14ac:dyDescent="0.25">
      <c r="B28" s="57"/>
      <c r="C28" s="49"/>
      <c r="D28" s="28" t="s">
        <v>16</v>
      </c>
      <c r="E28" s="18"/>
      <c r="F28" s="18"/>
      <c r="G28" s="46"/>
      <c r="H28" s="18"/>
      <c r="I28" s="18"/>
      <c r="J28" s="18"/>
      <c r="K28" s="18"/>
      <c r="L28" s="15"/>
    </row>
    <row r="29" spans="2:20" x14ac:dyDescent="0.25">
      <c r="B29" s="57"/>
      <c r="C29" s="40"/>
      <c r="D29" s="18"/>
      <c r="E29" s="18"/>
      <c r="F29" s="18"/>
      <c r="G29" s="18"/>
      <c r="H29" s="18"/>
      <c r="I29" s="18"/>
      <c r="J29" s="18"/>
      <c r="K29" s="18"/>
      <c r="L29" s="15"/>
    </row>
    <row r="30" spans="2:20" x14ac:dyDescent="0.25">
      <c r="B30" s="57"/>
      <c r="C30" s="40"/>
      <c r="D30" s="47" t="s">
        <v>17</v>
      </c>
      <c r="E30" s="18"/>
      <c r="F30" s="18"/>
      <c r="G30" s="18"/>
      <c r="H30" s="18"/>
      <c r="I30" s="18"/>
      <c r="J30" s="18"/>
      <c r="K30" s="18"/>
      <c r="L30" s="15"/>
    </row>
    <row r="31" spans="2:20" x14ac:dyDescent="0.25">
      <c r="B31" s="57"/>
      <c r="C31" s="49"/>
      <c r="D31" s="28" t="s">
        <v>18</v>
      </c>
      <c r="E31" s="18"/>
      <c r="F31" s="18"/>
      <c r="G31" s="18"/>
      <c r="H31" s="18"/>
      <c r="I31" s="18"/>
      <c r="J31" s="18"/>
      <c r="K31" s="18"/>
      <c r="L31" s="15"/>
    </row>
    <row r="32" spans="2:20" x14ac:dyDescent="0.25">
      <c r="B32" s="57"/>
      <c r="C32" s="40"/>
      <c r="D32" s="84">
        <v>1</v>
      </c>
      <c r="E32" s="84">
        <v>2</v>
      </c>
      <c r="F32" s="84">
        <v>3</v>
      </c>
      <c r="G32" s="84">
        <v>4</v>
      </c>
      <c r="H32" s="84">
        <v>5</v>
      </c>
      <c r="I32" s="84">
        <v>6</v>
      </c>
      <c r="J32" s="84">
        <v>7</v>
      </c>
      <c r="K32" s="18"/>
      <c r="L32" s="15"/>
    </row>
    <row r="33" spans="2:12" x14ac:dyDescent="0.25">
      <c r="B33" s="57"/>
      <c r="C33" s="40"/>
      <c r="D33" s="20" t="s">
        <v>19</v>
      </c>
      <c r="E33" s="20" t="s">
        <v>20</v>
      </c>
      <c r="F33" s="20" t="s">
        <v>21</v>
      </c>
      <c r="G33" s="20" t="s">
        <v>22</v>
      </c>
      <c r="H33" s="20" t="s">
        <v>23</v>
      </c>
      <c r="I33" s="20" t="s">
        <v>24</v>
      </c>
      <c r="J33" s="20" t="s">
        <v>25</v>
      </c>
      <c r="K33" s="42" t="s">
        <v>26</v>
      </c>
      <c r="L33" s="15"/>
    </row>
    <row r="34" spans="2:12" x14ac:dyDescent="0.25">
      <c r="B34" s="57"/>
      <c r="C34" s="40"/>
      <c r="D34" s="46"/>
      <c r="E34" s="46"/>
      <c r="F34" s="46"/>
      <c r="G34" s="46"/>
      <c r="H34" s="46"/>
      <c r="I34" s="46"/>
      <c r="J34" s="46"/>
      <c r="K34" s="76" t="str">
        <f>IF(SUM(D34:J34)=0,"",SUM(D34:J34))</f>
        <v/>
      </c>
      <c r="L34" s="15"/>
    </row>
    <row r="35" spans="2:12" x14ac:dyDescent="0.25">
      <c r="B35" s="57"/>
      <c r="C35" s="40"/>
      <c r="D35" s="43" t="str">
        <f>IF(ISBLANK(D34),"",(TEXT(D34/24,"hh:mm"))&amp;" (hrs:mins)")</f>
        <v/>
      </c>
      <c r="E35" s="43" t="str">
        <f t="shared" ref="E35:J35" si="0">IF(ISBLANK(E34),"",(TEXT(E34/24,"hh:mm"))&amp;" (hrs:mins)")</f>
        <v/>
      </c>
      <c r="F35" s="43" t="str">
        <f t="shared" si="0"/>
        <v/>
      </c>
      <c r="G35" s="43" t="str">
        <f t="shared" si="0"/>
        <v/>
      </c>
      <c r="H35" s="43" t="str">
        <f t="shared" si="0"/>
        <v/>
      </c>
      <c r="I35" s="78" t="str">
        <f t="shared" si="0"/>
        <v/>
      </c>
      <c r="J35" s="79" t="str">
        <f t="shared" si="0"/>
        <v/>
      </c>
      <c r="K35" s="77"/>
      <c r="L35" s="15"/>
    </row>
    <row r="36" spans="2:12" x14ac:dyDescent="0.25">
      <c r="B36" s="57"/>
      <c r="C36" s="40"/>
      <c r="D36" s="18"/>
      <c r="E36" s="18"/>
      <c r="F36" s="18"/>
      <c r="G36" s="18"/>
      <c r="H36" s="18"/>
      <c r="I36" s="18"/>
      <c r="J36" s="18"/>
      <c r="K36" s="18"/>
      <c r="L36" s="15"/>
    </row>
    <row r="37" spans="2:12" x14ac:dyDescent="0.25">
      <c r="B37" s="57"/>
      <c r="C37" s="40"/>
      <c r="D37" s="51" t="s">
        <v>27</v>
      </c>
      <c r="E37" s="18"/>
      <c r="F37" s="18"/>
      <c r="G37" s="18"/>
      <c r="H37" s="18"/>
      <c r="I37" s="18"/>
      <c r="J37" s="18"/>
      <c r="K37" s="18"/>
      <c r="L37" s="15"/>
    </row>
    <row r="38" spans="2:12" ht="15.75" thickBot="1" x14ac:dyDescent="0.3">
      <c r="B38" s="57"/>
      <c r="C38" s="40"/>
      <c r="D38" s="18"/>
      <c r="E38" s="18"/>
      <c r="F38" s="18"/>
      <c r="G38" s="18"/>
      <c r="H38" s="18"/>
      <c r="I38" s="18"/>
      <c r="J38" s="18"/>
      <c r="K38" s="18"/>
      <c r="L38" s="15"/>
    </row>
    <row r="39" spans="2:12" ht="15.75" thickTop="1" x14ac:dyDescent="0.25">
      <c r="B39" s="57"/>
      <c r="C39" s="40"/>
      <c r="D39" s="29"/>
      <c r="E39" s="70"/>
      <c r="F39" s="71"/>
      <c r="G39" s="70"/>
      <c r="H39" s="70"/>
      <c r="I39" s="70"/>
      <c r="J39" s="72"/>
      <c r="K39" s="18"/>
      <c r="L39" s="15"/>
    </row>
    <row r="40" spans="2:12" ht="15.75" x14ac:dyDescent="0.25">
      <c r="B40" s="57"/>
      <c r="C40" s="40"/>
      <c r="D40" s="32"/>
      <c r="E40" s="30"/>
      <c r="F40" s="30"/>
      <c r="G40" s="41" t="s">
        <v>28</v>
      </c>
      <c r="H40" s="74" t="str">
        <f>IF(ISBLANK(G28),"",(((F18-H15)/365*Data!D5)*(Calculator!G28/36)))</f>
        <v/>
      </c>
      <c r="I40" s="30"/>
      <c r="J40" s="31"/>
      <c r="K40" s="18"/>
      <c r="L40" s="15"/>
    </row>
    <row r="41" spans="2:12" ht="15.75" x14ac:dyDescent="0.25">
      <c r="B41" s="57"/>
      <c r="C41" s="40"/>
      <c r="D41" s="32"/>
      <c r="E41" s="30"/>
      <c r="F41" s="30"/>
      <c r="G41" s="41" t="s">
        <v>29</v>
      </c>
      <c r="H41" s="74" t="str">
        <f>IF(ISBLANK(H15),"",H15)</f>
        <v/>
      </c>
      <c r="I41" s="30"/>
      <c r="J41" s="31"/>
      <c r="K41" s="18"/>
      <c r="L41" s="15"/>
    </row>
    <row r="42" spans="2:12" ht="15.75" x14ac:dyDescent="0.25">
      <c r="B42" s="57"/>
      <c r="C42" s="40"/>
      <c r="D42" s="32"/>
      <c r="E42" s="30"/>
      <c r="F42" s="30"/>
      <c r="G42" s="33" t="s">
        <v>30</v>
      </c>
      <c r="H42" s="75" t="str">
        <f>IF(ISBLANK(G28),"",H40+H15)</f>
        <v/>
      </c>
      <c r="I42" s="30"/>
      <c r="J42" s="31"/>
      <c r="K42" s="18"/>
      <c r="L42" s="15"/>
    </row>
    <row r="43" spans="2:12" ht="15.75" x14ac:dyDescent="0.25">
      <c r="B43" s="57"/>
      <c r="C43" s="40"/>
      <c r="D43" s="32"/>
      <c r="E43" s="30"/>
      <c r="F43" s="30"/>
      <c r="G43" s="33"/>
      <c r="H43" s="12"/>
      <c r="I43" s="30"/>
      <c r="J43" s="31"/>
      <c r="K43" s="18"/>
      <c r="L43" s="15"/>
    </row>
    <row r="44" spans="2:12" ht="15.75" x14ac:dyDescent="0.25">
      <c r="B44" s="57"/>
      <c r="C44" s="40"/>
      <c r="D44" s="32"/>
      <c r="E44" s="30"/>
      <c r="F44" s="30"/>
      <c r="G44" s="41" t="s">
        <v>31</v>
      </c>
      <c r="H44" s="74" t="str">
        <f>IF(ISBLANK(G28),"",(((COUNTBLANK(I55:I67))*7.2)/36*G28))</f>
        <v/>
      </c>
      <c r="I44" s="30"/>
      <c r="J44" s="31"/>
      <c r="K44" s="18"/>
      <c r="L44" s="15"/>
    </row>
    <row r="45" spans="2:12" ht="15.75" x14ac:dyDescent="0.25">
      <c r="B45" s="57"/>
      <c r="C45" s="40"/>
      <c r="D45" s="32"/>
      <c r="E45" s="30"/>
      <c r="F45" s="30"/>
      <c r="G45" s="41" t="s">
        <v>32</v>
      </c>
      <c r="H45" s="74" t="str">
        <f>IF(ISBLANK(G28),"",H69)</f>
        <v/>
      </c>
      <c r="I45" s="30"/>
      <c r="J45" s="31"/>
      <c r="K45" s="18"/>
      <c r="L45" s="15"/>
    </row>
    <row r="46" spans="2:12" ht="15.75" x14ac:dyDescent="0.25">
      <c r="B46" s="57"/>
      <c r="C46" s="40"/>
      <c r="D46" s="32"/>
      <c r="E46" s="30"/>
      <c r="F46" s="30"/>
      <c r="G46" s="41" t="s">
        <v>33</v>
      </c>
      <c r="H46" s="74" t="str">
        <f>IF(ISBLANK(G28),"",(H44-H45))</f>
        <v/>
      </c>
      <c r="I46" s="30"/>
      <c r="J46" s="31"/>
      <c r="K46" s="18"/>
      <c r="L46" s="15"/>
    </row>
    <row r="47" spans="2:12" ht="15.75" x14ac:dyDescent="0.25">
      <c r="B47" s="57"/>
      <c r="C47" s="40"/>
      <c r="D47" s="32"/>
      <c r="E47" s="30"/>
      <c r="F47" s="30"/>
      <c r="G47" s="33"/>
      <c r="H47" s="12"/>
      <c r="I47" s="30"/>
      <c r="J47" s="31"/>
      <c r="K47" s="18"/>
      <c r="L47" s="15"/>
    </row>
    <row r="48" spans="2:12" ht="15.75" x14ac:dyDescent="0.25">
      <c r="B48" s="57"/>
      <c r="C48" s="40"/>
      <c r="D48" s="32"/>
      <c r="E48" s="30"/>
      <c r="F48" s="30"/>
      <c r="G48" s="39" t="s">
        <v>7</v>
      </c>
      <c r="H48" s="74" t="str">
        <f>IF(ISBLANK(G28),"",(H42+H44))</f>
        <v/>
      </c>
      <c r="I48" s="30"/>
      <c r="J48" s="31"/>
      <c r="K48" s="18"/>
      <c r="L48" s="15"/>
    </row>
    <row r="49" spans="2:12" ht="15.75" x14ac:dyDescent="0.25">
      <c r="B49" s="57"/>
      <c r="C49" s="40"/>
      <c r="D49" s="32"/>
      <c r="E49" s="30"/>
      <c r="F49" s="30"/>
      <c r="G49" s="33" t="s">
        <v>34</v>
      </c>
      <c r="H49" s="74" t="str">
        <f>IF(ISBLANK(G28),"",(SUM(H48-H45)))</f>
        <v/>
      </c>
      <c r="I49" s="30"/>
      <c r="J49" s="31"/>
      <c r="K49" s="18"/>
      <c r="L49" s="15"/>
    </row>
    <row r="50" spans="2:12" ht="16.5" customHeight="1" thickBot="1" x14ac:dyDescent="0.3">
      <c r="B50" s="57"/>
      <c r="C50" s="40"/>
      <c r="D50" s="73"/>
      <c r="E50" s="14"/>
      <c r="F50" s="14"/>
      <c r="G50" s="14"/>
      <c r="H50" s="14"/>
      <c r="I50" s="14"/>
      <c r="J50" s="27"/>
      <c r="K50" s="18"/>
      <c r="L50" s="15"/>
    </row>
    <row r="51" spans="2:12" ht="15" customHeight="1" thickTop="1" x14ac:dyDescent="0.25">
      <c r="B51" s="57"/>
      <c r="C51" s="40"/>
      <c r="D51" s="18"/>
      <c r="E51" s="18"/>
      <c r="F51" s="18"/>
      <c r="G51" s="18"/>
      <c r="H51" s="18"/>
      <c r="I51" s="18"/>
      <c r="J51" s="18"/>
      <c r="K51" s="18"/>
      <c r="L51" s="15"/>
    </row>
    <row r="52" spans="2:12" x14ac:dyDescent="0.25">
      <c r="B52" s="57"/>
      <c r="C52" s="40"/>
      <c r="D52" s="18" t="s">
        <v>79</v>
      </c>
      <c r="E52" s="18"/>
      <c r="F52" s="18"/>
      <c r="G52" s="18"/>
      <c r="H52" s="18"/>
      <c r="I52" s="18"/>
      <c r="J52" s="18"/>
      <c r="K52" s="18"/>
      <c r="L52" s="15"/>
    </row>
    <row r="53" spans="2:12" x14ac:dyDescent="0.25">
      <c r="B53" s="57"/>
      <c r="C53" s="40"/>
      <c r="D53" s="18"/>
      <c r="E53" s="18"/>
      <c r="F53" s="18"/>
      <c r="G53" s="18"/>
      <c r="H53" s="18"/>
      <c r="I53" s="18"/>
      <c r="J53" s="18"/>
      <c r="K53" s="18"/>
      <c r="L53" s="15"/>
    </row>
    <row r="54" spans="2:12" x14ac:dyDescent="0.25">
      <c r="B54" s="57"/>
      <c r="C54" s="40"/>
      <c r="D54" s="34" t="s">
        <v>35</v>
      </c>
      <c r="E54" s="34" t="s">
        <v>36</v>
      </c>
      <c r="F54" s="34" t="s">
        <v>37</v>
      </c>
      <c r="G54" s="34" t="s">
        <v>38</v>
      </c>
      <c r="H54" s="34" t="s">
        <v>39</v>
      </c>
      <c r="J54" s="18"/>
      <c r="K54" s="18"/>
      <c r="L54" s="15"/>
    </row>
    <row r="55" spans="2:12" x14ac:dyDescent="0.25">
      <c r="B55" s="57"/>
      <c r="C55" s="40"/>
      <c r="D55" s="35">
        <f>Data!A8</f>
        <v>45530</v>
      </c>
      <c r="E55" s="36">
        <f>Data!B8</f>
        <v>45530</v>
      </c>
      <c r="F55" s="1" t="str">
        <f>Data!E8</f>
        <v>Summer</v>
      </c>
      <c r="G55" s="1" t="str">
        <f>Data!F8</f>
        <v>Bank Holiday</v>
      </c>
      <c r="H55" s="43">
        <f>Data!I8</f>
        <v>0</v>
      </c>
      <c r="I55" s="37" t="str">
        <f>IF(D55&gt;Data!$B$5,"After leave date",(IF(Calculator!D55&lt;Data!$A$5,"Before start date","")))</f>
        <v/>
      </c>
      <c r="J55" s="18"/>
      <c r="K55" s="18"/>
      <c r="L55" s="15"/>
    </row>
    <row r="56" spans="2:12" x14ac:dyDescent="0.25">
      <c r="B56" s="57"/>
      <c r="C56" s="40"/>
      <c r="D56" s="35">
        <f>Data!A9</f>
        <v>45649</v>
      </c>
      <c r="E56" s="36">
        <f>Data!B9</f>
        <v>45649</v>
      </c>
      <c r="F56" s="1" t="str">
        <f>Data!E9</f>
        <v>University Closure</v>
      </c>
      <c r="G56" s="1" t="str">
        <f>Data!F9</f>
        <v>Closure Day</v>
      </c>
      <c r="H56" s="43">
        <f>Data!I9</f>
        <v>0</v>
      </c>
      <c r="I56" s="37" t="str">
        <f>IF(D56&gt;Data!$B$5,"After leave date",(IF(Calculator!D56&lt;Data!$A$5,"Before start date","")))</f>
        <v/>
      </c>
      <c r="J56" s="18"/>
      <c r="K56" s="18"/>
      <c r="L56" s="15"/>
    </row>
    <row r="57" spans="2:12" x14ac:dyDescent="0.25">
      <c r="B57" s="57"/>
      <c r="C57" s="40"/>
      <c r="D57" s="35">
        <f>Data!A10</f>
        <v>45650</v>
      </c>
      <c r="E57" s="36">
        <f>Data!B10</f>
        <v>45650</v>
      </c>
      <c r="F57" s="1" t="str">
        <f>Data!E10</f>
        <v>Christmas Eve</v>
      </c>
      <c r="G57" s="1" t="str">
        <f>Data!F10</f>
        <v>Closure Day</v>
      </c>
      <c r="H57" s="43">
        <f>Data!I10</f>
        <v>0</v>
      </c>
      <c r="I57" s="37" t="str">
        <f>IF(D57&gt;Data!$B$5,"After leave date",(IF(Calculator!D57&lt;Data!$A$5,"Before start date","")))</f>
        <v/>
      </c>
      <c r="J57" s="18"/>
      <c r="K57" s="18"/>
      <c r="L57" s="15"/>
    </row>
    <row r="58" spans="2:12" x14ac:dyDescent="0.25">
      <c r="B58" s="57"/>
      <c r="C58" s="40"/>
      <c r="D58" s="35">
        <f>Data!A11</f>
        <v>45651</v>
      </c>
      <c r="E58" s="36">
        <f>Data!B11</f>
        <v>45651</v>
      </c>
      <c r="F58" s="1" t="str">
        <f>Data!E11</f>
        <v>Christmas Day</v>
      </c>
      <c r="G58" s="1" t="str">
        <f>Data!F11</f>
        <v>Bank Holiday</v>
      </c>
      <c r="H58" s="43">
        <f>Data!I11</f>
        <v>0</v>
      </c>
      <c r="I58" s="37" t="str">
        <f>IF(D58&gt;Data!$B$5,"After leave date",(IF(Calculator!D58&lt;Data!$A$5,"Before start date","")))</f>
        <v/>
      </c>
      <c r="J58" s="18"/>
      <c r="K58" s="18"/>
      <c r="L58" s="15"/>
    </row>
    <row r="59" spans="2:12" x14ac:dyDescent="0.25">
      <c r="B59" s="57"/>
      <c r="C59" s="40"/>
      <c r="D59" s="35">
        <f>Data!A12</f>
        <v>45652</v>
      </c>
      <c r="E59" s="36">
        <f>Data!B12</f>
        <v>45652</v>
      </c>
      <c r="F59" s="1" t="str">
        <f>Data!E12</f>
        <v>Boxing Day</v>
      </c>
      <c r="G59" s="1" t="str">
        <f>Data!F12</f>
        <v>Bank Holiday</v>
      </c>
      <c r="H59" s="43">
        <f>Data!I12</f>
        <v>0</v>
      </c>
      <c r="I59" s="37" t="str">
        <f>IF(D59&gt;Data!$B$5,"After leave date",(IF(Calculator!D59&lt;Data!$A$5,"Before start date","")))</f>
        <v/>
      </c>
      <c r="J59" s="18"/>
      <c r="K59" s="18"/>
      <c r="L59" s="15"/>
    </row>
    <row r="60" spans="2:12" x14ac:dyDescent="0.25">
      <c r="B60" s="57"/>
      <c r="C60" s="40"/>
      <c r="D60" s="35">
        <f>Data!A13</f>
        <v>45653</v>
      </c>
      <c r="E60" s="36">
        <f>Data!B13</f>
        <v>45653</v>
      </c>
      <c r="F60" s="1" t="str">
        <f>Data!E13</f>
        <v>University Closure</v>
      </c>
      <c r="G60" s="1" t="str">
        <f>Data!F13</f>
        <v>Closure Day</v>
      </c>
      <c r="H60" s="43">
        <f>Data!I13</f>
        <v>0</v>
      </c>
      <c r="I60" s="37" t="str">
        <f>IF(D60&gt;Data!$B$5,"After leave date",(IF(Calculator!D60&lt;Data!$A$5,"Before start date","")))</f>
        <v/>
      </c>
      <c r="J60" s="18"/>
      <c r="K60" s="18"/>
      <c r="L60" s="15"/>
    </row>
    <row r="61" spans="2:12" x14ac:dyDescent="0.25">
      <c r="B61" s="57"/>
      <c r="C61" s="40"/>
      <c r="D61" s="35">
        <f>Data!A14</f>
        <v>45656</v>
      </c>
      <c r="E61" s="36">
        <f>Data!B14</f>
        <v>45656</v>
      </c>
      <c r="F61" s="1" t="str">
        <f>Data!E14</f>
        <v>University Closure</v>
      </c>
      <c r="G61" s="1" t="str">
        <f>Data!F14</f>
        <v>Closure Day</v>
      </c>
      <c r="H61" s="43">
        <f>Data!I14</f>
        <v>0</v>
      </c>
      <c r="I61" s="37" t="str">
        <f>IF(D61&gt;Data!$B$5,"After leave date",(IF(Calculator!D61&lt;Data!$A$5,"Before start date","")))</f>
        <v/>
      </c>
      <c r="J61" s="18"/>
      <c r="K61" s="18"/>
      <c r="L61" s="15"/>
    </row>
    <row r="62" spans="2:12" x14ac:dyDescent="0.25">
      <c r="B62" s="57"/>
      <c r="C62" s="40"/>
      <c r="D62" s="35">
        <f>Data!A15</f>
        <v>45657</v>
      </c>
      <c r="E62" s="36">
        <f>Data!B15</f>
        <v>45657</v>
      </c>
      <c r="F62" s="1" t="str">
        <f>Data!E15</f>
        <v>University Closure</v>
      </c>
      <c r="G62" s="1" t="str">
        <f>Data!F15</f>
        <v>Closure Day</v>
      </c>
      <c r="H62" s="43">
        <f>Data!I15</f>
        <v>0</v>
      </c>
      <c r="I62" s="37" t="str">
        <f>IF(D62&gt;Data!$B$5,"After leave date",(IF(Calculator!D62&lt;Data!$A$5,"Before start date","")))</f>
        <v/>
      </c>
      <c r="J62" s="18"/>
      <c r="K62" s="18"/>
      <c r="L62" s="15"/>
    </row>
    <row r="63" spans="2:12" x14ac:dyDescent="0.25">
      <c r="B63" s="57"/>
      <c r="C63" s="40"/>
      <c r="D63" s="35">
        <f>Data!A16</f>
        <v>45658</v>
      </c>
      <c r="E63" s="36">
        <f>Data!B16</f>
        <v>45658</v>
      </c>
      <c r="F63" s="1" t="str">
        <f>Data!E16</f>
        <v>New Year's Day</v>
      </c>
      <c r="G63" s="1" t="str">
        <f>Data!F16</f>
        <v>Bank Holiday</v>
      </c>
      <c r="H63" s="43">
        <f>Data!I16</f>
        <v>0</v>
      </c>
      <c r="I63" s="37" t="str">
        <f>IF(D63&gt;Data!$B$5,"After leave date",(IF(Calculator!D63&lt;Data!$A$5,"Before start date","")))</f>
        <v/>
      </c>
      <c r="J63" s="18"/>
      <c r="K63" s="18"/>
      <c r="L63" s="15"/>
    </row>
    <row r="64" spans="2:12" x14ac:dyDescent="0.25">
      <c r="B64" s="57"/>
      <c r="C64" s="40"/>
      <c r="D64" s="35">
        <f>Data!A17</f>
        <v>45765</v>
      </c>
      <c r="E64" s="36">
        <f>Data!B17</f>
        <v>45765</v>
      </c>
      <c r="F64" s="1" t="str">
        <f>Data!E17</f>
        <v>Good Friday</v>
      </c>
      <c r="G64" s="1" t="str">
        <f>Data!F17</f>
        <v>Bank Holiday</v>
      </c>
      <c r="H64" s="43">
        <f>Data!I17</f>
        <v>0</v>
      </c>
      <c r="I64" s="37" t="str">
        <f>IF(D64&gt;Data!$B$5,"After leave date",(IF(Calculator!D64&lt;Data!$A$5,"Before start date","")))</f>
        <v/>
      </c>
      <c r="J64" s="18"/>
      <c r="K64" s="18"/>
      <c r="L64" s="15"/>
    </row>
    <row r="65" spans="2:12" x14ac:dyDescent="0.25">
      <c r="B65" s="57"/>
      <c r="C65" s="40"/>
      <c r="D65" s="35">
        <f>Data!A18</f>
        <v>45768</v>
      </c>
      <c r="E65" s="36">
        <f>Data!B18</f>
        <v>45768</v>
      </c>
      <c r="F65" s="1" t="str">
        <f>Data!E18</f>
        <v>Easter Monday</v>
      </c>
      <c r="G65" s="1" t="str">
        <f>Data!F18</f>
        <v>Bank Holiday</v>
      </c>
      <c r="H65" s="43">
        <f>Data!I18</f>
        <v>0</v>
      </c>
      <c r="I65" s="37" t="str">
        <f>IF(D65&gt;Data!$B$5,"After leave date",(IF(Calculator!D65&lt;Data!$A$5,"Before start date","")))</f>
        <v/>
      </c>
      <c r="J65" s="18"/>
      <c r="K65" s="18"/>
      <c r="L65" s="15"/>
    </row>
    <row r="66" spans="2:12" x14ac:dyDescent="0.25">
      <c r="B66" s="57"/>
      <c r="C66" s="40"/>
      <c r="D66" s="35">
        <f>Data!A19</f>
        <v>45782</v>
      </c>
      <c r="E66" s="36">
        <f>Data!B19</f>
        <v>45782</v>
      </c>
      <c r="F66" s="1" t="str">
        <f>Data!E19</f>
        <v>Early May Bank Holiday</v>
      </c>
      <c r="G66" s="1" t="str">
        <f>Data!F19</f>
        <v>Bank Holiday</v>
      </c>
      <c r="H66" s="43">
        <f>Data!I19</f>
        <v>0</v>
      </c>
      <c r="I66" s="37" t="str">
        <f>IF(D66&gt;Data!$B$5,"After leave date",(IF(Calculator!D66&lt;Data!$A$5,"Before start date","")))</f>
        <v/>
      </c>
      <c r="J66" s="18"/>
      <c r="K66" s="18"/>
      <c r="L66" s="15"/>
    </row>
    <row r="67" spans="2:12" x14ac:dyDescent="0.25">
      <c r="B67" s="57"/>
      <c r="C67" s="40"/>
      <c r="D67" s="35">
        <f>Data!A20</f>
        <v>45803</v>
      </c>
      <c r="E67" s="36">
        <f>Data!B20</f>
        <v>45803</v>
      </c>
      <c r="F67" s="1" t="str">
        <f>Data!E20</f>
        <v>Spring Bank Holiday</v>
      </c>
      <c r="G67" s="1" t="str">
        <f>Data!F20</f>
        <v>Bank Holiday</v>
      </c>
      <c r="H67" s="43">
        <f>Data!I20</f>
        <v>0</v>
      </c>
      <c r="I67" s="37" t="str">
        <f>IF(D67&gt;Data!$B$5,"After leave date",(IF(Calculator!D67&lt;Data!$A$5,"Before start date","")))</f>
        <v/>
      </c>
      <c r="J67" s="18"/>
      <c r="K67" s="18"/>
      <c r="L67" s="15"/>
    </row>
    <row r="68" spans="2:12" x14ac:dyDescent="0.25">
      <c r="B68" s="57"/>
      <c r="C68" s="40"/>
      <c r="D68" s="38"/>
      <c r="E68" s="18"/>
      <c r="F68" s="18"/>
      <c r="G68" s="18"/>
      <c r="H68" s="18"/>
      <c r="I68" s="18"/>
      <c r="J68" s="18"/>
      <c r="K68" s="18"/>
      <c r="L68" s="15"/>
    </row>
    <row r="69" spans="2:12" x14ac:dyDescent="0.25">
      <c r="B69" s="57"/>
      <c r="C69" s="40"/>
      <c r="D69" s="18"/>
      <c r="G69" s="25" t="s">
        <v>40</v>
      </c>
      <c r="H69" s="43">
        <f>SUM(H55:H67)</f>
        <v>0</v>
      </c>
      <c r="I69" s="18"/>
      <c r="J69" s="18"/>
      <c r="K69" s="18"/>
      <c r="L69" s="15"/>
    </row>
    <row r="70" spans="2:12" x14ac:dyDescent="0.25">
      <c r="B70" s="57"/>
      <c r="C70" s="40"/>
      <c r="D70" s="18"/>
      <c r="E70" s="18"/>
      <c r="F70" s="18"/>
      <c r="G70" s="18"/>
      <c r="H70" s="18"/>
      <c r="I70" s="18"/>
      <c r="J70" s="18"/>
      <c r="K70" s="18"/>
      <c r="L70" s="15"/>
    </row>
    <row r="71" spans="2:12" ht="15.75" thickBot="1" x14ac:dyDescent="0.3">
      <c r="B71" s="62"/>
      <c r="C71" s="63"/>
      <c r="D71" s="14"/>
      <c r="E71" s="14"/>
      <c r="F71" s="14"/>
      <c r="G71" s="14"/>
      <c r="H71" s="14"/>
      <c r="I71" s="14"/>
      <c r="J71" s="14"/>
      <c r="K71" s="14"/>
      <c r="L71" s="27"/>
    </row>
    <row r="72" spans="2:12" ht="15.75" thickTop="1" x14ac:dyDescent="0.25"/>
  </sheetData>
  <sheetProtection algorithmName="SHA-512" hashValue="r9w2L6jBR7sW81EXi9/I3bn9JaKPnlR/qJXEt/+yHSOgKicOVD2ps2lucdL9daafGd6EQIhDIxiTQ5Vu8vdP1g==" saltValue="Fpd7eF8ejZkX0os2vczbtw==" spinCount="100000" sheet="1" objects="1" scenarios="1"/>
  <mergeCells count="1">
    <mergeCell ref="O16:S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1"/>
  <sheetViews>
    <sheetView showGridLines="0" workbookViewId="0">
      <selection activeCell="I8" sqref="I8:I11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1" customFormat="1" x14ac:dyDescent="0.25">
      <c r="A1" s="10"/>
      <c r="B1" s="10" t="s">
        <v>41</v>
      </c>
      <c r="C1" s="10" t="s">
        <v>42</v>
      </c>
      <c r="D1" s="10" t="s">
        <v>43</v>
      </c>
    </row>
    <row r="2" spans="1:9" x14ac:dyDescent="0.25">
      <c r="A2" s="3" t="s">
        <v>44</v>
      </c>
      <c r="B2" s="3">
        <v>28</v>
      </c>
      <c r="C2" s="3">
        <v>13</v>
      </c>
      <c r="D2" s="3">
        <f t="shared" ref="D2" si="0">B2+C2</f>
        <v>41</v>
      </c>
      <c r="F2">
        <f>IF(ISBLANK(Calculator!G28),36)</f>
        <v>36</v>
      </c>
    </row>
    <row r="3" spans="1:9" x14ac:dyDescent="0.25">
      <c r="B3" t="s">
        <v>67</v>
      </c>
      <c r="D3" t="s">
        <v>68</v>
      </c>
    </row>
    <row r="4" spans="1:9" s="11" customFormat="1" x14ac:dyDescent="0.25">
      <c r="A4" s="10" t="s">
        <v>45</v>
      </c>
      <c r="B4" s="10" t="s">
        <v>46</v>
      </c>
      <c r="C4" s="10" t="s">
        <v>47</v>
      </c>
      <c r="D4" s="10" t="s">
        <v>48</v>
      </c>
      <c r="E4" s="10" t="s">
        <v>45</v>
      </c>
      <c r="F4" s="10" t="s">
        <v>46</v>
      </c>
    </row>
    <row r="5" spans="1:9" x14ac:dyDescent="0.25">
      <c r="A5" s="4">
        <f>IF(ISBLANK(Calculator!G24),DATEVALUE("01/08/2024"),Calculator!G24)</f>
        <v>45505</v>
      </c>
      <c r="B5" s="4">
        <f>IF(ISBLANK(Calculator!G25),DATEVALUE("31/07/2025"),Calculator!G25)</f>
        <v>45869</v>
      </c>
      <c r="C5" s="5">
        <f>DATEDIF(A5,B5,"D")+1</f>
        <v>365</v>
      </c>
      <c r="D5" s="5">
        <f>IF(C5&gt;365,365,C5)</f>
        <v>365</v>
      </c>
      <c r="E5" s="53">
        <v>45505</v>
      </c>
      <c r="F5" s="53">
        <v>45869</v>
      </c>
    </row>
    <row r="6" spans="1:9" x14ac:dyDescent="0.25">
      <c r="A6" t="s">
        <v>66</v>
      </c>
      <c r="B6" t="s">
        <v>69</v>
      </c>
      <c r="C6" t="s">
        <v>70</v>
      </c>
      <c r="E6" t="s">
        <v>71</v>
      </c>
      <c r="F6" t="s">
        <v>72</v>
      </c>
    </row>
    <row r="7" spans="1:9" x14ac:dyDescent="0.25">
      <c r="A7" s="6" t="s">
        <v>35</v>
      </c>
      <c r="B7" s="6" t="s">
        <v>36</v>
      </c>
      <c r="C7" s="6" t="s">
        <v>49</v>
      </c>
      <c r="D7" s="6" t="s">
        <v>50</v>
      </c>
      <c r="E7" s="6" t="s">
        <v>37</v>
      </c>
      <c r="F7" s="6" t="s">
        <v>38</v>
      </c>
      <c r="G7" s="6" t="s">
        <v>51</v>
      </c>
      <c r="H7" s="6" t="s">
        <v>52</v>
      </c>
      <c r="I7" s="6" t="s">
        <v>53</v>
      </c>
    </row>
    <row r="8" spans="1:9" x14ac:dyDescent="0.25">
      <c r="A8" s="8">
        <v>45530</v>
      </c>
      <c r="B8" s="9">
        <f>A8</f>
        <v>45530</v>
      </c>
      <c r="C8" s="7">
        <f>WEEKDAY(B8,2)</f>
        <v>1</v>
      </c>
      <c r="D8" s="7">
        <f>HLOOKUP($C8,Calculator!$D$32:$J$34,3,FALSE)</f>
        <v>0</v>
      </c>
      <c r="E8" s="7" t="s">
        <v>57</v>
      </c>
      <c r="F8" s="7" t="s">
        <v>55</v>
      </c>
      <c r="G8" s="3" t="b">
        <f>AND(A8&gt;=$A$5,A8&lt;=$B$5)</f>
        <v>1</v>
      </c>
      <c r="H8" s="3" t="str">
        <f>IF(G8=TRUE,"1","0")</f>
        <v>1</v>
      </c>
      <c r="I8" s="3">
        <f>D8*H8</f>
        <v>0</v>
      </c>
    </row>
    <row r="9" spans="1:9" x14ac:dyDescent="0.25">
      <c r="A9" s="8">
        <v>45649</v>
      </c>
      <c r="B9" s="9">
        <f>A9</f>
        <v>45649</v>
      </c>
      <c r="C9" s="7">
        <f>WEEKDAY(B9,2)</f>
        <v>1</v>
      </c>
      <c r="D9" s="7">
        <f>HLOOKUP($C9,Calculator!$D$32:$J$34,3,FALSE)</f>
        <v>0</v>
      </c>
      <c r="E9" s="7" t="s">
        <v>58</v>
      </c>
      <c r="F9" s="7" t="s">
        <v>59</v>
      </c>
      <c r="G9" s="3" t="b">
        <f t="shared" ref="G9:G11" si="1">AND(A9&gt;=$A$5,A9&lt;=$B$5)</f>
        <v>1</v>
      </c>
      <c r="H9" s="3" t="str">
        <f t="shared" ref="H9:H11" si="2">IF(G9=TRUE,"1","0")</f>
        <v>1</v>
      </c>
      <c r="I9" s="3">
        <f t="shared" ref="I9:I11" si="3">D9*H9</f>
        <v>0</v>
      </c>
    </row>
    <row r="10" spans="1:9" x14ac:dyDescent="0.25">
      <c r="A10" s="8">
        <v>45650</v>
      </c>
      <c r="B10" s="9">
        <f t="shared" ref="B10" si="4">A10</f>
        <v>45650</v>
      </c>
      <c r="C10" s="7">
        <f t="shared" ref="C10" si="5">WEEKDAY(B10,2)</f>
        <v>2</v>
      </c>
      <c r="D10" s="7">
        <f>HLOOKUP($C10,Calculator!$D$32:$J$34,3,FALSE)</f>
        <v>0</v>
      </c>
      <c r="E10" s="7" t="s">
        <v>80</v>
      </c>
      <c r="F10" s="7" t="s">
        <v>59</v>
      </c>
      <c r="G10" s="3" t="b">
        <f t="shared" si="1"/>
        <v>1</v>
      </c>
      <c r="H10" s="3" t="str">
        <f t="shared" si="2"/>
        <v>1</v>
      </c>
      <c r="I10" s="3">
        <f t="shared" si="3"/>
        <v>0</v>
      </c>
    </row>
    <row r="11" spans="1:9" x14ac:dyDescent="0.25">
      <c r="A11" s="8">
        <v>45651</v>
      </c>
      <c r="B11" s="9">
        <f t="shared" ref="B11" si="6">A11</f>
        <v>45651</v>
      </c>
      <c r="C11" s="7">
        <f t="shared" ref="C11" si="7">WEEKDAY(B11,2)</f>
        <v>3</v>
      </c>
      <c r="D11" s="7">
        <f>HLOOKUP($C11,Calculator!$D$32:$J$34,3,FALSE)</f>
        <v>0</v>
      </c>
      <c r="E11" s="7" t="s">
        <v>65</v>
      </c>
      <c r="F11" s="7" t="s">
        <v>55</v>
      </c>
      <c r="G11" s="3" t="b">
        <f t="shared" si="1"/>
        <v>1</v>
      </c>
      <c r="H11" s="3" t="str">
        <f t="shared" si="2"/>
        <v>1</v>
      </c>
      <c r="I11" s="3">
        <f t="shared" si="3"/>
        <v>0</v>
      </c>
    </row>
    <row r="12" spans="1:9" x14ac:dyDescent="0.25">
      <c r="A12" s="8">
        <v>45652</v>
      </c>
      <c r="B12" s="9">
        <f t="shared" ref="B12:B20" si="8">A12</f>
        <v>45652</v>
      </c>
      <c r="C12" s="7">
        <f t="shared" ref="C12:C20" si="9">WEEKDAY(B12,2)</f>
        <v>4</v>
      </c>
      <c r="D12" s="7">
        <f>HLOOKUP($C12,Calculator!$D$32:$J$34,3,FALSE)</f>
        <v>0</v>
      </c>
      <c r="E12" s="7" t="s">
        <v>61</v>
      </c>
      <c r="F12" s="7" t="s">
        <v>55</v>
      </c>
      <c r="G12" s="3" t="b">
        <f t="shared" ref="G12:G20" si="10">AND(A12&gt;=$A$5,A12&lt;=$B$5)</f>
        <v>1</v>
      </c>
      <c r="H12" s="3" t="str">
        <f t="shared" ref="H12:H20" si="11">IF(G12=TRUE,"1","0")</f>
        <v>1</v>
      </c>
      <c r="I12" s="3">
        <f t="shared" ref="I12:I20" si="12">D12*H12</f>
        <v>0</v>
      </c>
    </row>
    <row r="13" spans="1:9" x14ac:dyDescent="0.25">
      <c r="A13" s="8">
        <v>45653</v>
      </c>
      <c r="B13" s="9">
        <f t="shared" si="8"/>
        <v>45653</v>
      </c>
      <c r="C13" s="7">
        <f t="shared" si="9"/>
        <v>5</v>
      </c>
      <c r="D13" s="7">
        <f>HLOOKUP($C13,Calculator!$D$32:$J$34,3,FALSE)</f>
        <v>0</v>
      </c>
      <c r="E13" s="7" t="s">
        <v>58</v>
      </c>
      <c r="F13" s="7" t="s">
        <v>59</v>
      </c>
      <c r="G13" s="3" t="b">
        <f t="shared" si="10"/>
        <v>1</v>
      </c>
      <c r="H13" s="3" t="str">
        <f t="shared" si="11"/>
        <v>1</v>
      </c>
      <c r="I13" s="3">
        <f t="shared" si="12"/>
        <v>0</v>
      </c>
    </row>
    <row r="14" spans="1:9" x14ac:dyDescent="0.25">
      <c r="A14" s="8">
        <v>45656</v>
      </c>
      <c r="B14" s="9">
        <f t="shared" si="8"/>
        <v>45656</v>
      </c>
      <c r="C14" s="7">
        <f t="shared" si="9"/>
        <v>1</v>
      </c>
      <c r="D14" s="7">
        <f>HLOOKUP($C14,Calculator!$D$32:$J$34,3,FALSE)</f>
        <v>0</v>
      </c>
      <c r="E14" s="7" t="s">
        <v>58</v>
      </c>
      <c r="F14" s="7" t="s">
        <v>59</v>
      </c>
      <c r="G14" s="3" t="b">
        <f t="shared" si="10"/>
        <v>1</v>
      </c>
      <c r="H14" s="3" t="str">
        <f t="shared" si="11"/>
        <v>1</v>
      </c>
      <c r="I14" s="3">
        <f t="shared" si="12"/>
        <v>0</v>
      </c>
    </row>
    <row r="15" spans="1:9" x14ac:dyDescent="0.25">
      <c r="A15" s="8">
        <v>45657</v>
      </c>
      <c r="B15" s="9">
        <f t="shared" si="8"/>
        <v>45657</v>
      </c>
      <c r="C15" s="7">
        <f t="shared" si="9"/>
        <v>2</v>
      </c>
      <c r="D15" s="7">
        <f>HLOOKUP($C15,Calculator!$D$32:$J$34,3,FALSE)</f>
        <v>0</v>
      </c>
      <c r="E15" s="7" t="s">
        <v>58</v>
      </c>
      <c r="F15" s="7" t="s">
        <v>59</v>
      </c>
      <c r="G15" s="3" t="b">
        <f t="shared" si="10"/>
        <v>1</v>
      </c>
      <c r="H15" s="3" t="str">
        <f t="shared" si="11"/>
        <v>1</v>
      </c>
      <c r="I15" s="3">
        <f t="shared" si="12"/>
        <v>0</v>
      </c>
    </row>
    <row r="16" spans="1:9" x14ac:dyDescent="0.25">
      <c r="A16" s="8">
        <v>45658</v>
      </c>
      <c r="B16" s="9">
        <f t="shared" si="8"/>
        <v>45658</v>
      </c>
      <c r="C16" s="7">
        <f t="shared" si="9"/>
        <v>3</v>
      </c>
      <c r="D16" s="7">
        <f>HLOOKUP($C16,Calculator!$D$32:$J$34,3,FALSE)</f>
        <v>0</v>
      </c>
      <c r="E16" s="7" t="s">
        <v>60</v>
      </c>
      <c r="F16" s="7" t="s">
        <v>55</v>
      </c>
      <c r="G16" s="3" t="b">
        <f t="shared" si="10"/>
        <v>1</v>
      </c>
      <c r="H16" s="3" t="str">
        <f t="shared" si="11"/>
        <v>1</v>
      </c>
      <c r="I16" s="3">
        <f t="shared" si="12"/>
        <v>0</v>
      </c>
    </row>
    <row r="17" spans="1:9" x14ac:dyDescent="0.25">
      <c r="A17" s="8">
        <v>45765</v>
      </c>
      <c r="B17" s="9">
        <f t="shared" si="8"/>
        <v>45765</v>
      </c>
      <c r="C17" s="7">
        <f t="shared" si="9"/>
        <v>5</v>
      </c>
      <c r="D17" s="7">
        <f>HLOOKUP($C17,Calculator!$D$32:$J$34,3,FALSE)</f>
        <v>0</v>
      </c>
      <c r="E17" s="7" t="s">
        <v>54</v>
      </c>
      <c r="F17" s="7" t="s">
        <v>55</v>
      </c>
      <c r="G17" s="3" t="b">
        <f t="shared" si="10"/>
        <v>1</v>
      </c>
      <c r="H17" s="3" t="str">
        <f t="shared" si="11"/>
        <v>1</v>
      </c>
      <c r="I17" s="3">
        <f t="shared" si="12"/>
        <v>0</v>
      </c>
    </row>
    <row r="18" spans="1:9" x14ac:dyDescent="0.25">
      <c r="A18" s="8">
        <v>45768</v>
      </c>
      <c r="B18" s="9">
        <f t="shared" si="8"/>
        <v>45768</v>
      </c>
      <c r="C18" s="7">
        <f t="shared" si="9"/>
        <v>1</v>
      </c>
      <c r="D18" s="7">
        <f>HLOOKUP($C18,Calculator!$D$32:$J$34,3,FALSE)</f>
        <v>0</v>
      </c>
      <c r="E18" s="7" t="s">
        <v>56</v>
      </c>
      <c r="F18" s="7" t="s">
        <v>55</v>
      </c>
      <c r="G18" s="3" t="b">
        <f t="shared" si="10"/>
        <v>1</v>
      </c>
      <c r="H18" s="3" t="str">
        <f t="shared" si="11"/>
        <v>1</v>
      </c>
      <c r="I18" s="3">
        <f t="shared" si="12"/>
        <v>0</v>
      </c>
    </row>
    <row r="19" spans="1:9" x14ac:dyDescent="0.25">
      <c r="A19" s="8">
        <v>45782</v>
      </c>
      <c r="B19" s="9">
        <f t="shared" si="8"/>
        <v>45782</v>
      </c>
      <c r="C19" s="7">
        <f t="shared" si="9"/>
        <v>1</v>
      </c>
      <c r="D19" s="7">
        <f>HLOOKUP($C19,Calculator!$D$32:$J$34,3,FALSE)</f>
        <v>0</v>
      </c>
      <c r="E19" s="7" t="s">
        <v>62</v>
      </c>
      <c r="F19" s="7" t="s">
        <v>55</v>
      </c>
      <c r="G19" s="3" t="b">
        <f t="shared" si="10"/>
        <v>1</v>
      </c>
      <c r="H19" s="3" t="str">
        <f t="shared" si="11"/>
        <v>1</v>
      </c>
      <c r="I19" s="3">
        <f t="shared" si="12"/>
        <v>0</v>
      </c>
    </row>
    <row r="20" spans="1:9" x14ac:dyDescent="0.25">
      <c r="A20" s="8">
        <v>45803</v>
      </c>
      <c r="B20" s="9">
        <f t="shared" si="8"/>
        <v>45803</v>
      </c>
      <c r="C20" s="7">
        <f t="shared" si="9"/>
        <v>1</v>
      </c>
      <c r="D20" s="7">
        <f>HLOOKUP($C20,Calculator!$D$32:$J$34,3,FALSE)</f>
        <v>0</v>
      </c>
      <c r="E20" s="7" t="s">
        <v>63</v>
      </c>
      <c r="F20" s="7" t="s">
        <v>55</v>
      </c>
      <c r="G20" s="3" t="b">
        <f t="shared" si="10"/>
        <v>1</v>
      </c>
      <c r="H20" s="3" t="str">
        <f t="shared" si="11"/>
        <v>1</v>
      </c>
      <c r="I20" s="3">
        <f t="shared" si="12"/>
        <v>0</v>
      </c>
    </row>
    <row r="21" spans="1:9" x14ac:dyDescent="0.25">
      <c r="C21" t="s">
        <v>73</v>
      </c>
      <c r="D21" t="s">
        <v>74</v>
      </c>
      <c r="G21" t="s">
        <v>75</v>
      </c>
      <c r="H21" t="s">
        <v>76</v>
      </c>
      <c r="I21" t="s">
        <v>77</v>
      </c>
    </row>
  </sheetData>
  <sheetProtection algorithmName="SHA-512" hashValue="cg4gT+mAH+Y89nybsy4HL/YhnMwpNva+sC6N8Jt9CFCH/OfY9MWhwTH67FPUZgPoI/A/XzNUde46y5i9fHN3BQ==" saltValue="RuGbAW6T1JuJAE7c6nwsLw==" spinCount="100000" sheet="1" objects="1" scenarios="1"/>
  <pageMargins left="0.7" right="0.7" top="0.75" bottom="0.75" header="0.3" footer="0.3"/>
  <pageSetup paperSize="9" orientation="portrait" r:id="rId1"/>
  <ignoredErrors>
    <ignoredError sqref="B12:D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</cp:lastModifiedBy>
  <cp:revision/>
  <dcterms:created xsi:type="dcterms:W3CDTF">2015-05-29T12:02:28Z</dcterms:created>
  <dcterms:modified xsi:type="dcterms:W3CDTF">2025-04-02T14:57:50Z</dcterms:modified>
  <cp:category/>
  <cp:contentStatus/>
</cp:coreProperties>
</file>